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1548" windowWidth="15360" windowHeight="8796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data!$DR$822:$DR$867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C228" i="1" l="1"/>
  <c r="C370" i="1"/>
  <c r="C364" i="1"/>
  <c r="C389" i="1"/>
  <c r="CC76" i="1" l="1"/>
  <c r="S74" i="1" l="1"/>
  <c r="S73" i="1"/>
  <c r="CE80" i="1" l="1"/>
  <c r="CF79" i="1"/>
  <c r="CE79" i="1"/>
  <c r="CE78" i="1"/>
  <c r="CE77" i="1"/>
  <c r="CF77" i="1" s="1"/>
  <c r="CE76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CE74" i="1"/>
  <c r="CE73" i="1"/>
  <c r="CD71" i="1"/>
  <c r="CE70" i="1"/>
  <c r="CE69" i="1"/>
  <c r="CE68" i="1"/>
  <c r="CE66" i="1"/>
  <c r="CE65" i="1"/>
  <c r="CE64" i="1"/>
  <c r="CE63" i="1"/>
  <c r="CE61" i="1"/>
  <c r="CC48" i="1" s="1"/>
  <c r="CC62" i="1" s="1"/>
  <c r="CE60" i="1"/>
  <c r="CE51" i="1"/>
  <c r="CE47" i="1"/>
  <c r="O48" i="1" l="1"/>
  <c r="O62" i="1" s="1"/>
  <c r="CA48" i="1"/>
  <c r="CA62" i="1" s="1"/>
  <c r="P48" i="1"/>
  <c r="P62" i="1" s="1"/>
  <c r="AQ48" i="1"/>
  <c r="AQ62" i="1" s="1"/>
  <c r="AU48" i="1"/>
  <c r="AU62" i="1" s="1"/>
  <c r="G48" i="1"/>
  <c r="G62" i="1" s="1"/>
  <c r="AA48" i="1"/>
  <c r="AA62" i="1" s="1"/>
  <c r="BG48" i="1"/>
  <c r="BG62" i="1" s="1"/>
  <c r="H48" i="1"/>
  <c r="H62" i="1" s="1"/>
  <c r="AE48" i="1"/>
  <c r="AE62" i="1" s="1"/>
  <c r="BK48" i="1"/>
  <c r="BK62" i="1" s="1"/>
  <c r="C48" i="1"/>
  <c r="C62" i="1" s="1"/>
  <c r="K48" i="1"/>
  <c r="K62" i="1" s="1"/>
  <c r="S48" i="1"/>
  <c r="S62" i="1" s="1"/>
  <c r="AI48" i="1"/>
  <c r="AI62" i="1" s="1"/>
  <c r="AY48" i="1"/>
  <c r="AY62" i="1" s="1"/>
  <c r="BP48" i="1"/>
  <c r="BP62" i="1" s="1"/>
  <c r="D48" i="1"/>
  <c r="D62" i="1" s="1"/>
  <c r="L48" i="1"/>
  <c r="L62" i="1" s="1"/>
  <c r="W48" i="1"/>
  <c r="W62" i="1" s="1"/>
  <c r="AM48" i="1"/>
  <c r="AM62" i="1" s="1"/>
  <c r="BC48" i="1"/>
  <c r="BC62" i="1" s="1"/>
  <c r="BV48" i="1"/>
  <c r="BV62" i="1" s="1"/>
  <c r="T48" i="1"/>
  <c r="T62" i="1" s="1"/>
  <c r="X48" i="1"/>
  <c r="X62" i="1" s="1"/>
  <c r="AB48" i="1"/>
  <c r="AB62" i="1" s="1"/>
  <c r="AF48" i="1"/>
  <c r="AF62" i="1" s="1"/>
  <c r="AJ48" i="1"/>
  <c r="AJ62" i="1" s="1"/>
  <c r="AN48" i="1"/>
  <c r="AN62" i="1" s="1"/>
  <c r="AR48" i="1"/>
  <c r="AR62" i="1" s="1"/>
  <c r="AV48" i="1"/>
  <c r="AV62" i="1" s="1"/>
  <c r="AZ48" i="1"/>
  <c r="AZ62" i="1" s="1"/>
  <c r="BD48" i="1"/>
  <c r="BD62" i="1" s="1"/>
  <c r="BH48" i="1"/>
  <c r="BH62" i="1" s="1"/>
  <c r="BL48" i="1"/>
  <c r="BL62" i="1" s="1"/>
  <c r="BR48" i="1"/>
  <c r="BR62" i="1" s="1"/>
  <c r="BW48" i="1"/>
  <c r="BW62" i="1" s="1"/>
  <c r="CB48" i="1"/>
  <c r="CB62" i="1" s="1"/>
  <c r="Q48" i="1"/>
  <c r="Q62" i="1" s="1"/>
  <c r="E48" i="1"/>
  <c r="E62" i="1" s="1"/>
  <c r="I48" i="1"/>
  <c r="I62" i="1" s="1"/>
  <c r="M48" i="1"/>
  <c r="M62" i="1" s="1"/>
  <c r="U48" i="1"/>
  <c r="U62" i="1" s="1"/>
  <c r="Y48" i="1"/>
  <c r="Y62" i="1" s="1"/>
  <c r="AC48" i="1"/>
  <c r="AC62" i="1" s="1"/>
  <c r="AG48" i="1"/>
  <c r="AG62" i="1" s="1"/>
  <c r="AK48" i="1"/>
  <c r="AK62" i="1" s="1"/>
  <c r="AO48" i="1"/>
  <c r="AO62" i="1" s="1"/>
  <c r="AS48" i="1"/>
  <c r="AS62" i="1" s="1"/>
  <c r="AW48" i="1"/>
  <c r="AW62" i="1" s="1"/>
  <c r="BA48" i="1"/>
  <c r="BA62" i="1" s="1"/>
  <c r="BE48" i="1"/>
  <c r="BE62" i="1" s="1"/>
  <c r="BI48" i="1"/>
  <c r="BI62" i="1" s="1"/>
  <c r="BN48" i="1"/>
  <c r="BN62" i="1" s="1"/>
  <c r="BS48" i="1"/>
  <c r="BS62" i="1" s="1"/>
  <c r="BX48" i="1"/>
  <c r="BX62" i="1" s="1"/>
  <c r="F48" i="1"/>
  <c r="F62" i="1" s="1"/>
  <c r="J48" i="1"/>
  <c r="J62" i="1" s="1"/>
  <c r="N48" i="1"/>
  <c r="N62" i="1" s="1"/>
  <c r="R48" i="1"/>
  <c r="R62" i="1" s="1"/>
  <c r="V48" i="1"/>
  <c r="V62" i="1" s="1"/>
  <c r="Z48" i="1"/>
  <c r="Z62" i="1" s="1"/>
  <c r="AD48" i="1"/>
  <c r="AD62" i="1" s="1"/>
  <c r="AH48" i="1"/>
  <c r="AH62" i="1" s="1"/>
  <c r="AL48" i="1"/>
  <c r="AL62" i="1" s="1"/>
  <c r="AP48" i="1"/>
  <c r="AP62" i="1" s="1"/>
  <c r="AT48" i="1"/>
  <c r="AT62" i="1" s="1"/>
  <c r="AX48" i="1"/>
  <c r="AX62" i="1" s="1"/>
  <c r="BB48" i="1"/>
  <c r="BB62" i="1" s="1"/>
  <c r="BF48" i="1"/>
  <c r="BF62" i="1" s="1"/>
  <c r="BJ48" i="1"/>
  <c r="BJ62" i="1" s="1"/>
  <c r="BO48" i="1"/>
  <c r="BO62" i="1" s="1"/>
  <c r="BT48" i="1"/>
  <c r="BT62" i="1" s="1"/>
  <c r="BZ48" i="1"/>
  <c r="BZ62" i="1" s="1"/>
  <c r="S75" i="1"/>
  <c r="CE75" i="1" s="1"/>
  <c r="CF76" i="1"/>
  <c r="CB52" i="1" s="1"/>
  <c r="CB67" i="1" s="1"/>
  <c r="BM48" i="1"/>
  <c r="BM62" i="1" s="1"/>
  <c r="BQ48" i="1"/>
  <c r="BQ62" i="1" s="1"/>
  <c r="BU48" i="1"/>
  <c r="BU62" i="1" s="1"/>
  <c r="BY48" i="1"/>
  <c r="BY62" i="1" s="1"/>
  <c r="CB71" i="1" l="1"/>
  <c r="CA52" i="1"/>
  <c r="CA67" i="1" s="1"/>
  <c r="CA71" i="1" s="1"/>
  <c r="BF52" i="1"/>
  <c r="BF67" i="1" s="1"/>
  <c r="BF71" i="1" s="1"/>
  <c r="AK52" i="1"/>
  <c r="AK67" i="1" s="1"/>
  <c r="AK71" i="1" s="1"/>
  <c r="O52" i="1"/>
  <c r="O67" i="1" s="1"/>
  <c r="O71" i="1" s="1"/>
  <c r="BU52" i="1"/>
  <c r="BU67" i="1" s="1"/>
  <c r="BU71" i="1" s="1"/>
  <c r="CE62" i="1"/>
  <c r="AY52" i="1"/>
  <c r="AY67" i="1" s="1"/>
  <c r="AY71" i="1" s="1"/>
  <c r="I52" i="1"/>
  <c r="I67" i="1" s="1"/>
  <c r="I71" i="1" s="1"/>
  <c r="BS52" i="1"/>
  <c r="BS67" i="1" s="1"/>
  <c r="BS71" i="1" s="1"/>
  <c r="AC52" i="1"/>
  <c r="AC67" i="1" s="1"/>
  <c r="AC71" i="1" s="1"/>
  <c r="H52" i="1"/>
  <c r="H67" i="1" s="1"/>
  <c r="H71" i="1" s="1"/>
  <c r="BD52" i="1"/>
  <c r="BD67" i="1" s="1"/>
  <c r="BD71" i="1" s="1"/>
  <c r="BA52" i="1"/>
  <c r="BA67" i="1" s="1"/>
  <c r="BA71" i="1" s="1"/>
  <c r="J52" i="1"/>
  <c r="J67" i="1" s="1"/>
  <c r="J71" i="1" s="1"/>
  <c r="BO52" i="1"/>
  <c r="BO67" i="1" s="1"/>
  <c r="BO71" i="1" s="1"/>
  <c r="AT52" i="1"/>
  <c r="AT67" i="1" s="1"/>
  <c r="AT71" i="1" s="1"/>
  <c r="Y52" i="1"/>
  <c r="Y67" i="1" s="1"/>
  <c r="Y71" i="1" s="1"/>
  <c r="C52" i="1"/>
  <c r="BN52" i="1"/>
  <c r="BN67" i="1" s="1"/>
  <c r="BN71" i="1" s="1"/>
  <c r="AS52" i="1"/>
  <c r="AS67" i="1" s="1"/>
  <c r="AS71" i="1" s="1"/>
  <c r="W52" i="1"/>
  <c r="W67" i="1" s="1"/>
  <c r="W71" i="1" s="1"/>
  <c r="L52" i="1"/>
  <c r="L67" i="1" s="1"/>
  <c r="L71" i="1" s="1"/>
  <c r="AB52" i="1"/>
  <c r="AB67" i="1" s="1"/>
  <c r="AB71" i="1" s="1"/>
  <c r="AR52" i="1"/>
  <c r="AR67" i="1" s="1"/>
  <c r="AR71" i="1" s="1"/>
  <c r="BH52" i="1"/>
  <c r="BH67" i="1" s="1"/>
  <c r="BH71" i="1" s="1"/>
  <c r="BX52" i="1"/>
  <c r="BX67" i="1" s="1"/>
  <c r="BX71" i="1" s="1"/>
  <c r="AD52" i="1"/>
  <c r="AD67" i="1" s="1"/>
  <c r="AD71" i="1" s="1"/>
  <c r="AX52" i="1"/>
  <c r="AX67" i="1" s="1"/>
  <c r="AX71" i="1" s="1"/>
  <c r="X52" i="1"/>
  <c r="X67" i="1" s="1"/>
  <c r="X71" i="1" s="1"/>
  <c r="BT52" i="1"/>
  <c r="BT67" i="1" s="1"/>
  <c r="BT71" i="1" s="1"/>
  <c r="CE48" i="1"/>
  <c r="BQ52" i="1"/>
  <c r="BQ67" i="1" s="1"/>
  <c r="BQ71" i="1" s="1"/>
  <c r="AU52" i="1"/>
  <c r="AU67" i="1" s="1"/>
  <c r="AU71" i="1" s="1"/>
  <c r="Z52" i="1"/>
  <c r="Z67" i="1" s="1"/>
  <c r="Z71" i="1" s="1"/>
  <c r="E52" i="1"/>
  <c r="E67" i="1" s="1"/>
  <c r="E71" i="1" s="1"/>
  <c r="BJ52" i="1"/>
  <c r="BJ67" i="1" s="1"/>
  <c r="BJ71" i="1" s="1"/>
  <c r="AO52" i="1"/>
  <c r="AO67" i="1" s="1"/>
  <c r="AO71" i="1" s="1"/>
  <c r="S52" i="1"/>
  <c r="S67" i="1" s="1"/>
  <c r="S71" i="1" s="1"/>
  <c r="BI52" i="1"/>
  <c r="BI67" i="1" s="1"/>
  <c r="BI71" i="1" s="1"/>
  <c r="AM52" i="1"/>
  <c r="AM67" i="1" s="1"/>
  <c r="AM71" i="1" s="1"/>
  <c r="R52" i="1"/>
  <c r="R67" i="1" s="1"/>
  <c r="R71" i="1" s="1"/>
  <c r="P52" i="1"/>
  <c r="P67" i="1" s="1"/>
  <c r="P71" i="1" s="1"/>
  <c r="AF52" i="1"/>
  <c r="AF67" i="1" s="1"/>
  <c r="AF71" i="1" s="1"/>
  <c r="AV52" i="1"/>
  <c r="AV67" i="1" s="1"/>
  <c r="AV71" i="1" s="1"/>
  <c r="BL52" i="1"/>
  <c r="BL67" i="1" s="1"/>
  <c r="BL71" i="1" s="1"/>
  <c r="CC52" i="1"/>
  <c r="CC67" i="1" s="1"/>
  <c r="CC71" i="1" s="1"/>
  <c r="BR52" i="1"/>
  <c r="BR67" i="1" s="1"/>
  <c r="BR71" i="1" s="1"/>
  <c r="BG52" i="1"/>
  <c r="BG67" i="1" s="1"/>
  <c r="BG71" i="1" s="1"/>
  <c r="AW52" i="1"/>
  <c r="AW67" i="1" s="1"/>
  <c r="AW71" i="1" s="1"/>
  <c r="AL52" i="1"/>
  <c r="AL67" i="1" s="1"/>
  <c r="AL71" i="1" s="1"/>
  <c r="AA52" i="1"/>
  <c r="AA67" i="1" s="1"/>
  <c r="AA71" i="1" s="1"/>
  <c r="Q52" i="1"/>
  <c r="Q67" i="1" s="1"/>
  <c r="Q71" i="1" s="1"/>
  <c r="F52" i="1"/>
  <c r="F67" i="1" s="1"/>
  <c r="F71" i="1" s="1"/>
  <c r="BW52" i="1"/>
  <c r="BW67" i="1" s="1"/>
  <c r="BW71" i="1" s="1"/>
  <c r="BM52" i="1"/>
  <c r="BM67" i="1" s="1"/>
  <c r="BM71" i="1" s="1"/>
  <c r="BB52" i="1"/>
  <c r="BB67" i="1" s="1"/>
  <c r="BB71" i="1" s="1"/>
  <c r="AQ52" i="1"/>
  <c r="AQ67" i="1" s="1"/>
  <c r="AQ71" i="1" s="1"/>
  <c r="AG52" i="1"/>
  <c r="AG67" i="1" s="1"/>
  <c r="AG71" i="1" s="1"/>
  <c r="V52" i="1"/>
  <c r="V67" i="1" s="1"/>
  <c r="V71" i="1" s="1"/>
  <c r="K52" i="1"/>
  <c r="K67" i="1" s="1"/>
  <c r="K71" i="1" s="1"/>
  <c r="G52" i="1"/>
  <c r="G67" i="1" s="1"/>
  <c r="G71" i="1" s="1"/>
  <c r="AN52" i="1"/>
  <c r="AN67" i="1" s="1"/>
  <c r="AN71" i="1" s="1"/>
  <c r="BV52" i="1"/>
  <c r="BV67" i="1" s="1"/>
  <c r="BV71" i="1" s="1"/>
  <c r="AE52" i="1"/>
  <c r="AE67" i="1" s="1"/>
  <c r="AE71" i="1" s="1"/>
  <c r="BK52" i="1"/>
  <c r="BK67" i="1" s="1"/>
  <c r="BK71" i="1" s="1"/>
  <c r="AP52" i="1"/>
  <c r="AP67" i="1" s="1"/>
  <c r="AP71" i="1" s="1"/>
  <c r="U52" i="1"/>
  <c r="U67" i="1" s="1"/>
  <c r="U71" i="1" s="1"/>
  <c r="BZ52" i="1"/>
  <c r="BZ67" i="1" s="1"/>
  <c r="BZ71" i="1" s="1"/>
  <c r="BE52" i="1"/>
  <c r="BE67" i="1" s="1"/>
  <c r="BE71" i="1" s="1"/>
  <c r="AI52" i="1"/>
  <c r="AI67" i="1" s="1"/>
  <c r="AI71" i="1" s="1"/>
  <c r="N52" i="1"/>
  <c r="N67" i="1" s="1"/>
  <c r="N71" i="1" s="1"/>
  <c r="BY52" i="1"/>
  <c r="BY67" i="1" s="1"/>
  <c r="BY71" i="1" s="1"/>
  <c r="BC52" i="1"/>
  <c r="BC67" i="1" s="1"/>
  <c r="BC71" i="1" s="1"/>
  <c r="AH52" i="1"/>
  <c r="AH67" i="1" s="1"/>
  <c r="AH71" i="1" s="1"/>
  <c r="M52" i="1"/>
  <c r="M67" i="1" s="1"/>
  <c r="M71" i="1" s="1"/>
  <c r="D52" i="1"/>
  <c r="D67" i="1" s="1"/>
  <c r="D71" i="1" s="1"/>
  <c r="T52" i="1"/>
  <c r="T67" i="1" s="1"/>
  <c r="T71" i="1" s="1"/>
  <c r="AJ52" i="1"/>
  <c r="AJ67" i="1" s="1"/>
  <c r="AJ71" i="1" s="1"/>
  <c r="AZ52" i="1"/>
  <c r="AZ67" i="1" s="1"/>
  <c r="AZ71" i="1" s="1"/>
  <c r="BP52" i="1"/>
  <c r="BP67" i="1" s="1"/>
  <c r="BP71" i="1" s="1"/>
  <c r="C67" i="1" l="1"/>
  <c r="CE52" i="1"/>
  <c r="CE67" i="1" l="1"/>
  <c r="CE71" i="1" s="1"/>
  <c r="C71" i="1"/>
  <c r="C176" i="1" l="1"/>
  <c r="C170" i="1"/>
  <c r="C171" i="1"/>
  <c r="C165" i="1"/>
  <c r="D142" i="1" l="1"/>
  <c r="C141" i="1"/>
  <c r="C142" i="1" s="1"/>
  <c r="B157" i="1"/>
  <c r="D141" i="1" l="1"/>
  <c r="C383" i="1"/>
  <c r="C387" i="1"/>
  <c r="C385" i="1"/>
  <c r="C379" i="1"/>
  <c r="C378" i="1"/>
  <c r="C305" i="1"/>
  <c r="C306" i="1"/>
  <c r="C276" i="1"/>
  <c r="C252" i="1"/>
  <c r="C253" i="1"/>
  <c r="C239" i="1" l="1"/>
  <c r="C238" i="1"/>
  <c r="C231" i="1"/>
  <c r="C225" i="1"/>
  <c r="C224" i="1"/>
  <c r="C223" i="1"/>
  <c r="B213" i="1" l="1"/>
  <c r="D140" i="1" l="1"/>
  <c r="D139" i="1"/>
  <c r="D138" i="1"/>
  <c r="C140" i="1"/>
  <c r="C139" i="1"/>
  <c r="C138" i="1"/>
  <c r="C615" i="10" l="1"/>
  <c r="H550" i="10"/>
  <c r="E550" i="10"/>
  <c r="F550" i="10"/>
  <c r="E546" i="10"/>
  <c r="E545" i="10"/>
  <c r="F545" i="10"/>
  <c r="E544" i="10"/>
  <c r="F544" i="10"/>
  <c r="H540" i="10"/>
  <c r="E540" i="10"/>
  <c r="F540" i="10"/>
  <c r="E539" i="10"/>
  <c r="H539" i="10"/>
  <c r="F538" i="10"/>
  <c r="E538" i="10"/>
  <c r="H538" i="10"/>
  <c r="H537" i="10"/>
  <c r="F537" i="10"/>
  <c r="E537" i="10"/>
  <c r="H536" i="10"/>
  <c r="E536" i="10"/>
  <c r="F536" i="10"/>
  <c r="H535" i="10"/>
  <c r="E535" i="10"/>
  <c r="F535" i="10"/>
  <c r="E534" i="10"/>
  <c r="H534" i="10"/>
  <c r="H533" i="10"/>
  <c r="E533" i="10"/>
  <c r="F533" i="10"/>
  <c r="H532" i="10"/>
  <c r="E532" i="10"/>
  <c r="F532" i="10"/>
  <c r="E531" i="10"/>
  <c r="H531" i="10"/>
  <c r="E530" i="10"/>
  <c r="E529" i="10"/>
  <c r="F529" i="10"/>
  <c r="H528" i="10"/>
  <c r="E528" i="10"/>
  <c r="F528" i="10"/>
  <c r="E527" i="10"/>
  <c r="H527" i="10"/>
  <c r="E526" i="10"/>
  <c r="H526" i="10"/>
  <c r="E525" i="10"/>
  <c r="F525" i="10"/>
  <c r="E524" i="10"/>
  <c r="F524" i="10"/>
  <c r="E523" i="10"/>
  <c r="H523" i="10"/>
  <c r="E522" i="10"/>
  <c r="F521" i="10"/>
  <c r="E520" i="10"/>
  <c r="H520" i="10"/>
  <c r="H519" i="10"/>
  <c r="E519" i="10"/>
  <c r="F519" i="10"/>
  <c r="E518" i="10"/>
  <c r="H517" i="10"/>
  <c r="F517" i="10"/>
  <c r="E517" i="10"/>
  <c r="E516" i="10"/>
  <c r="H516" i="10"/>
  <c r="H515" i="10"/>
  <c r="E515" i="10"/>
  <c r="F515" i="10"/>
  <c r="E514" i="10"/>
  <c r="F514" i="10"/>
  <c r="E511" i="10"/>
  <c r="F511" i="10"/>
  <c r="E510" i="10"/>
  <c r="F510" i="10"/>
  <c r="E509" i="10"/>
  <c r="H508" i="10"/>
  <c r="F508" i="10"/>
  <c r="E508" i="10"/>
  <c r="H507" i="10"/>
  <c r="E507" i="10"/>
  <c r="F507" i="10"/>
  <c r="H506" i="10"/>
  <c r="F506" i="10"/>
  <c r="E506" i="10"/>
  <c r="F505" i="10"/>
  <c r="E505" i="10"/>
  <c r="H505" i="10"/>
  <c r="E504" i="10"/>
  <c r="H504" i="10"/>
  <c r="H503" i="10"/>
  <c r="F503" i="10"/>
  <c r="E503" i="10"/>
  <c r="H502" i="10"/>
  <c r="E502" i="10"/>
  <c r="F502" i="10"/>
  <c r="E501" i="10"/>
  <c r="H500" i="10"/>
  <c r="F500" i="10"/>
  <c r="E500" i="10"/>
  <c r="H499" i="10"/>
  <c r="E499" i="10"/>
  <c r="F499" i="10"/>
  <c r="E498" i="10"/>
  <c r="F498" i="10"/>
  <c r="F497" i="10"/>
  <c r="E497" i="10"/>
  <c r="H497" i="10"/>
  <c r="E496" i="10"/>
  <c r="H496" i="10"/>
  <c r="G493" i="10"/>
  <c r="E493" i="10"/>
  <c r="C493" i="10"/>
  <c r="A493" i="10"/>
  <c r="B475" i="10"/>
  <c r="B474" i="10"/>
  <c r="B473" i="10"/>
  <c r="B472" i="10"/>
  <c r="B471" i="10"/>
  <c r="B470" i="10"/>
  <c r="B469" i="10"/>
  <c r="B468" i="10"/>
  <c r="B464" i="10"/>
  <c r="B463" i="10"/>
  <c r="C459" i="10"/>
  <c r="B459" i="10"/>
  <c r="B454" i="10"/>
  <c r="B453" i="10"/>
  <c r="C447" i="10"/>
  <c r="C445" i="10"/>
  <c r="C444" i="10"/>
  <c r="C439" i="10"/>
  <c r="C438" i="10"/>
  <c r="B437" i="10"/>
  <c r="B435" i="10"/>
  <c r="C434" i="10"/>
  <c r="B433" i="10"/>
  <c r="B432" i="10"/>
  <c r="B431" i="10"/>
  <c r="B430" i="10"/>
  <c r="B429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C389" i="10"/>
  <c r="B439" i="10" s="1"/>
  <c r="C387" i="10"/>
  <c r="B438" i="10" s="1"/>
  <c r="C385" i="10"/>
  <c r="B434" i="10" s="1"/>
  <c r="C379" i="10"/>
  <c r="B428" i="10" s="1"/>
  <c r="C378" i="10"/>
  <c r="C370" i="10"/>
  <c r="C365" i="10"/>
  <c r="C446" i="10" s="1"/>
  <c r="D361" i="10"/>
  <c r="D329" i="10"/>
  <c r="D328" i="10"/>
  <c r="D319" i="10"/>
  <c r="C312" i="10"/>
  <c r="C307" i="10"/>
  <c r="C306" i="10"/>
  <c r="C305" i="10"/>
  <c r="D290" i="10"/>
  <c r="D283" i="10"/>
  <c r="C276" i="10"/>
  <c r="B478" i="10" s="1"/>
  <c r="D275" i="10"/>
  <c r="D277" i="10" s="1"/>
  <c r="D265" i="10"/>
  <c r="C252" i="10"/>
  <c r="D260" i="10" s="1"/>
  <c r="D292" i="10" s="1"/>
  <c r="D341" i="10" s="1"/>
  <c r="C481" i="10" s="1"/>
  <c r="C239" i="10"/>
  <c r="D240" i="10" s="1"/>
  <c r="B447" i="10" s="1"/>
  <c r="C234" i="10"/>
  <c r="B455" i="10" s="1"/>
  <c r="C233" i="10"/>
  <c r="C231" i="10"/>
  <c r="C228" i="10"/>
  <c r="C227" i="10"/>
  <c r="C226" i="10"/>
  <c r="C224" i="10"/>
  <c r="D221" i="10"/>
  <c r="D217" i="10"/>
  <c r="B217" i="10"/>
  <c r="E216" i="10"/>
  <c r="E215" i="10"/>
  <c r="E214" i="10"/>
  <c r="C213" i="10"/>
  <c r="E213" i="10" s="1"/>
  <c r="E212" i="10"/>
  <c r="C211" i="10"/>
  <c r="E211" i="10" s="1"/>
  <c r="C210" i="10"/>
  <c r="E210" i="10" s="1"/>
  <c r="C209" i="10"/>
  <c r="C217" i="10" s="1"/>
  <c r="D433" i="10" s="1"/>
  <c r="D204" i="10"/>
  <c r="B204" i="10"/>
  <c r="C203" i="10"/>
  <c r="E203" i="10" s="1"/>
  <c r="C475" i="10" s="1"/>
  <c r="E202" i="10"/>
  <c r="C474" i="10" s="1"/>
  <c r="E201" i="10"/>
  <c r="C200" i="10"/>
  <c r="E200" i="10" s="1"/>
  <c r="E199" i="10"/>
  <c r="C472" i="10" s="1"/>
  <c r="C198" i="10"/>
  <c r="E198" i="10" s="1"/>
  <c r="C471" i="10" s="1"/>
  <c r="C197" i="10"/>
  <c r="E196" i="10"/>
  <c r="C469" i="10" s="1"/>
  <c r="E195" i="10"/>
  <c r="D190" i="10"/>
  <c r="D437" i="10" s="1"/>
  <c r="D186" i="10"/>
  <c r="D436" i="10" s="1"/>
  <c r="D181" i="10"/>
  <c r="D435" i="10" s="1"/>
  <c r="C176" i="10"/>
  <c r="D177" i="10" s="1"/>
  <c r="D434" i="10" s="1"/>
  <c r="C171" i="10"/>
  <c r="C170" i="10"/>
  <c r="C168" i="10"/>
  <c r="D173" i="10" s="1"/>
  <c r="D428" i="10" s="1"/>
  <c r="B157" i="10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C142" i="10"/>
  <c r="E142" i="10" s="1"/>
  <c r="D141" i="10"/>
  <c r="C141" i="10"/>
  <c r="E141" i="10" s="1"/>
  <c r="D463" i="10" s="1"/>
  <c r="E140" i="10"/>
  <c r="D140" i="10"/>
  <c r="C140" i="10"/>
  <c r="D139" i="10"/>
  <c r="C139" i="10"/>
  <c r="E139" i="10" s="1"/>
  <c r="C415" i="10" s="1"/>
  <c r="D138" i="10"/>
  <c r="C138" i="10"/>
  <c r="E138" i="10" s="1"/>
  <c r="C414" i="10" s="1"/>
  <c r="E127" i="10"/>
  <c r="CE80" i="10"/>
  <c r="L612" i="10" s="1"/>
  <c r="CF79" i="10"/>
  <c r="CE79" i="10"/>
  <c r="J612" i="10" s="1"/>
  <c r="CE78" i="10"/>
  <c r="I612" i="10" s="1"/>
  <c r="CE77" i="10"/>
  <c r="G612" i="10" s="1"/>
  <c r="BN76" i="10"/>
  <c r="CE76" i="10" s="1"/>
  <c r="D612" i="10" s="1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S74" i="10"/>
  <c r="CE74" i="10" s="1"/>
  <c r="C464" i="10" s="1"/>
  <c r="CE73" i="10"/>
  <c r="C463" i="10" s="1"/>
  <c r="S73" i="10"/>
  <c r="CD71" i="10"/>
  <c r="C575" i="10" s="1"/>
  <c r="CE70" i="10"/>
  <c r="C458" i="10" s="1"/>
  <c r="CE69" i="10"/>
  <c r="C440" i="10" s="1"/>
  <c r="CE68" i="10"/>
  <c r="CE66" i="10"/>
  <c r="C432" i="10" s="1"/>
  <c r="CE65" i="10"/>
  <c r="C431" i="10" s="1"/>
  <c r="CE64" i="10"/>
  <c r="CE63" i="10"/>
  <c r="C429" i="10" s="1"/>
  <c r="CC61" i="10"/>
  <c r="CE60" i="10"/>
  <c r="H612" i="10" s="1"/>
  <c r="B53" i="10"/>
  <c r="CE51" i="10"/>
  <c r="B49" i="10"/>
  <c r="CE47" i="10"/>
  <c r="B440" i="10" l="1"/>
  <c r="D236" i="10"/>
  <c r="B446" i="10" s="1"/>
  <c r="AM52" i="10"/>
  <c r="AM67" i="10" s="1"/>
  <c r="D438" i="10"/>
  <c r="M52" i="10"/>
  <c r="M67" i="10" s="1"/>
  <c r="W52" i="10"/>
  <c r="W67" i="10" s="1"/>
  <c r="AV52" i="10"/>
  <c r="AV67" i="10" s="1"/>
  <c r="BK52" i="10"/>
  <c r="BK67" i="10" s="1"/>
  <c r="BY52" i="10"/>
  <c r="BY67" i="10" s="1"/>
  <c r="CF76" i="10"/>
  <c r="O52" i="10"/>
  <c r="O67" i="10" s="1"/>
  <c r="AC52" i="10"/>
  <c r="AC67" i="10" s="1"/>
  <c r="BA52" i="10"/>
  <c r="BA67" i="10" s="1"/>
  <c r="BL52" i="10"/>
  <c r="BL67" i="10" s="1"/>
  <c r="D229" i="10"/>
  <c r="B445" i="10" s="1"/>
  <c r="E52" i="10"/>
  <c r="E67" i="10" s="1"/>
  <c r="P52" i="10"/>
  <c r="P67" i="10" s="1"/>
  <c r="AE52" i="10"/>
  <c r="AE67" i="10" s="1"/>
  <c r="AS52" i="10"/>
  <c r="AS67" i="10" s="1"/>
  <c r="BC52" i="10"/>
  <c r="BC67" i="10" s="1"/>
  <c r="BQ52" i="10"/>
  <c r="BQ67" i="10" s="1"/>
  <c r="CB52" i="10"/>
  <c r="CB67" i="10" s="1"/>
  <c r="S75" i="10"/>
  <c r="CE75" i="10"/>
  <c r="C465" i="10" s="1"/>
  <c r="CF77" i="10"/>
  <c r="E209" i="10"/>
  <c r="E217" i="10" s="1"/>
  <c r="C478" i="10" s="1"/>
  <c r="D314" i="10"/>
  <c r="D367" i="10"/>
  <c r="C448" i="10" s="1"/>
  <c r="D465" i="10"/>
  <c r="F52" i="10"/>
  <c r="F67" i="10" s="1"/>
  <c r="V52" i="10"/>
  <c r="V67" i="10" s="1"/>
  <c r="AL52" i="10"/>
  <c r="AL67" i="10" s="1"/>
  <c r="BB52" i="10"/>
  <c r="BB67" i="10" s="1"/>
  <c r="BR52" i="10"/>
  <c r="BR67" i="10" s="1"/>
  <c r="D339" i="10"/>
  <c r="C482" i="10" s="1"/>
  <c r="H52" i="10"/>
  <c r="H67" i="10" s="1"/>
  <c r="X52" i="10"/>
  <c r="X67" i="10" s="1"/>
  <c r="AN52" i="10"/>
  <c r="AN67" i="10" s="1"/>
  <c r="BD52" i="10"/>
  <c r="BD67" i="10" s="1"/>
  <c r="CE61" i="10"/>
  <c r="K612" i="10"/>
  <c r="BX52" i="10"/>
  <c r="BX67" i="10" s="1"/>
  <c r="BP52" i="10"/>
  <c r="BP67" i="10" s="1"/>
  <c r="BH52" i="10"/>
  <c r="BH67" i="10" s="1"/>
  <c r="AZ52" i="10"/>
  <c r="AZ67" i="10" s="1"/>
  <c r="AR52" i="10"/>
  <c r="AR67" i="10" s="1"/>
  <c r="AJ52" i="10"/>
  <c r="AJ67" i="10" s="1"/>
  <c r="AB52" i="10"/>
  <c r="AB67" i="10" s="1"/>
  <c r="T52" i="10"/>
  <c r="T67" i="10" s="1"/>
  <c r="L52" i="10"/>
  <c r="L67" i="10" s="1"/>
  <c r="D52" i="10"/>
  <c r="D67" i="10" s="1"/>
  <c r="CC52" i="10"/>
  <c r="CC67" i="10" s="1"/>
  <c r="BE52" i="10"/>
  <c r="BE67" i="10" s="1"/>
  <c r="AW52" i="10"/>
  <c r="AW67" i="10" s="1"/>
  <c r="Y52" i="10"/>
  <c r="Y67" i="10" s="1"/>
  <c r="BW52" i="10"/>
  <c r="BW67" i="10" s="1"/>
  <c r="BO52" i="10"/>
  <c r="BO67" i="10" s="1"/>
  <c r="BG52" i="10"/>
  <c r="BG67" i="10" s="1"/>
  <c r="AY52" i="10"/>
  <c r="AY67" i="10" s="1"/>
  <c r="AQ52" i="10"/>
  <c r="AQ67" i="10" s="1"/>
  <c r="AI52" i="10"/>
  <c r="AI67" i="10" s="1"/>
  <c r="AA52" i="10"/>
  <c r="AA67" i="10" s="1"/>
  <c r="S52" i="10"/>
  <c r="S67" i="10" s="1"/>
  <c r="K52" i="10"/>
  <c r="K67" i="10" s="1"/>
  <c r="C52" i="10"/>
  <c r="BU52" i="10"/>
  <c r="BU67" i="10" s="1"/>
  <c r="AO52" i="10"/>
  <c r="AO67" i="10" s="1"/>
  <c r="I52" i="10"/>
  <c r="I67" i="10" s="1"/>
  <c r="BV52" i="10"/>
  <c r="BV67" i="10" s="1"/>
  <c r="BN52" i="10"/>
  <c r="BN67" i="10" s="1"/>
  <c r="BF52" i="10"/>
  <c r="BF67" i="10" s="1"/>
  <c r="AX52" i="10"/>
  <c r="AX67" i="10" s="1"/>
  <c r="AP52" i="10"/>
  <c r="AP67" i="10" s="1"/>
  <c r="AH52" i="10"/>
  <c r="AH67" i="10" s="1"/>
  <c r="Z52" i="10"/>
  <c r="Z67" i="10" s="1"/>
  <c r="R52" i="10"/>
  <c r="R67" i="10" s="1"/>
  <c r="J52" i="10"/>
  <c r="J67" i="10" s="1"/>
  <c r="BM52" i="10"/>
  <c r="BM67" i="10" s="1"/>
  <c r="AG52" i="10"/>
  <c r="AG67" i="10" s="1"/>
  <c r="Q52" i="10"/>
  <c r="Q67" i="10" s="1"/>
  <c r="C468" i="10"/>
  <c r="B427" i="10"/>
  <c r="D390" i="10"/>
  <c r="B441" i="10" s="1"/>
  <c r="N52" i="10"/>
  <c r="N67" i="10" s="1"/>
  <c r="AD52" i="10"/>
  <c r="AD67" i="10" s="1"/>
  <c r="AT52" i="10"/>
  <c r="AT67" i="10" s="1"/>
  <c r="BJ52" i="10"/>
  <c r="BJ67" i="10" s="1"/>
  <c r="BZ52" i="10"/>
  <c r="BZ67" i="10" s="1"/>
  <c r="E197" i="10"/>
  <c r="C470" i="10" s="1"/>
  <c r="C204" i="10"/>
  <c r="D464" i="10"/>
  <c r="F496" i="10"/>
  <c r="F504" i="10"/>
  <c r="C430" i="10"/>
  <c r="F612" i="10"/>
  <c r="C473" i="10"/>
  <c r="D372" i="10"/>
  <c r="B458" i="10"/>
  <c r="B465" i="10"/>
  <c r="B476" i="10"/>
  <c r="F518" i="10"/>
  <c r="H525" i="10"/>
  <c r="B444" i="10"/>
  <c r="D242" i="10"/>
  <c r="B448" i="10" s="1"/>
  <c r="D330" i="10"/>
  <c r="B436" i="10"/>
  <c r="F512" i="10"/>
  <c r="H512" i="10"/>
  <c r="F546" i="10"/>
  <c r="H501" i="10"/>
  <c r="F501" i="10"/>
  <c r="H513" i="10"/>
  <c r="F513" i="10"/>
  <c r="F539" i="10"/>
  <c r="F509" i="10"/>
  <c r="F516" i="10"/>
  <c r="F520" i="10"/>
  <c r="F523" i="10"/>
  <c r="F527" i="10"/>
  <c r="F531" i="10"/>
  <c r="F522" i="10"/>
  <c r="F526" i="10"/>
  <c r="F530" i="10"/>
  <c r="F534" i="10"/>
  <c r="F493" i="1"/>
  <c r="D493" i="1"/>
  <c r="B493" i="1"/>
  <c r="B575" i="1"/>
  <c r="D368" i="10" l="1"/>
  <c r="D373" i="10"/>
  <c r="D391" i="10" s="1"/>
  <c r="D393" i="10" s="1"/>
  <c r="D396" i="10" s="1"/>
  <c r="BT52" i="10"/>
  <c r="BT67" i="10" s="1"/>
  <c r="BI52" i="10"/>
  <c r="BI67" i="10" s="1"/>
  <c r="U52" i="10"/>
  <c r="U67" i="10" s="1"/>
  <c r="BS52" i="10"/>
  <c r="BS67" i="10" s="1"/>
  <c r="AU52" i="10"/>
  <c r="AU67" i="10" s="1"/>
  <c r="AF52" i="10"/>
  <c r="AF67" i="10" s="1"/>
  <c r="G52" i="10"/>
  <c r="G67" i="10" s="1"/>
  <c r="AK52" i="10"/>
  <c r="AK67" i="10" s="1"/>
  <c r="CA52" i="10"/>
  <c r="CA67" i="10" s="1"/>
  <c r="C67" i="10"/>
  <c r="C427" i="10"/>
  <c r="BZ48" i="10"/>
  <c r="BZ62" i="10" s="1"/>
  <c r="BZ71" i="10" s="1"/>
  <c r="BR48" i="10"/>
  <c r="BR62" i="10" s="1"/>
  <c r="BR71" i="10" s="1"/>
  <c r="BJ48" i="10"/>
  <c r="BJ62" i="10" s="1"/>
  <c r="BJ71" i="10" s="1"/>
  <c r="BB48" i="10"/>
  <c r="BB62" i="10" s="1"/>
  <c r="BB71" i="10" s="1"/>
  <c r="AT48" i="10"/>
  <c r="AT62" i="10" s="1"/>
  <c r="AT71" i="10" s="1"/>
  <c r="AL48" i="10"/>
  <c r="AL62" i="10" s="1"/>
  <c r="AL71" i="10" s="1"/>
  <c r="AD48" i="10"/>
  <c r="AD62" i="10" s="1"/>
  <c r="AD71" i="10" s="1"/>
  <c r="V48" i="10"/>
  <c r="V62" i="10" s="1"/>
  <c r="V71" i="10" s="1"/>
  <c r="N48" i="10"/>
  <c r="N62" i="10" s="1"/>
  <c r="N71" i="10" s="1"/>
  <c r="F48" i="10"/>
  <c r="F62" i="10" s="1"/>
  <c r="F71" i="10" s="1"/>
  <c r="AI48" i="10"/>
  <c r="AI62" i="10" s="1"/>
  <c r="AI71" i="10" s="1"/>
  <c r="BY48" i="10"/>
  <c r="BY62" i="10" s="1"/>
  <c r="BY71" i="10" s="1"/>
  <c r="BQ48" i="10"/>
  <c r="BQ62" i="10" s="1"/>
  <c r="BQ71" i="10" s="1"/>
  <c r="BI48" i="10"/>
  <c r="BI62" i="10" s="1"/>
  <c r="BA48" i="10"/>
  <c r="BA62" i="10" s="1"/>
  <c r="BA71" i="10" s="1"/>
  <c r="AS48" i="10"/>
  <c r="AS62" i="10" s="1"/>
  <c r="AS71" i="10" s="1"/>
  <c r="AK48" i="10"/>
  <c r="AK62" i="10" s="1"/>
  <c r="AK71" i="10" s="1"/>
  <c r="AC48" i="10"/>
  <c r="AC62" i="10" s="1"/>
  <c r="AC71" i="10" s="1"/>
  <c r="U48" i="10"/>
  <c r="U62" i="10" s="1"/>
  <c r="U71" i="10" s="1"/>
  <c r="M48" i="10"/>
  <c r="M62" i="10" s="1"/>
  <c r="M71" i="10" s="1"/>
  <c r="E48" i="10"/>
  <c r="E62" i="10" s="1"/>
  <c r="E71" i="10" s="1"/>
  <c r="BO48" i="10"/>
  <c r="BO62" i="10" s="1"/>
  <c r="BO71" i="10" s="1"/>
  <c r="AY48" i="10"/>
  <c r="AY62" i="10" s="1"/>
  <c r="AY71" i="10" s="1"/>
  <c r="AQ48" i="10"/>
  <c r="AQ62" i="10" s="1"/>
  <c r="AQ71" i="10" s="1"/>
  <c r="S48" i="10"/>
  <c r="S62" i="10" s="1"/>
  <c r="S71" i="10" s="1"/>
  <c r="C48" i="10"/>
  <c r="BX48" i="10"/>
  <c r="BX62" i="10" s="1"/>
  <c r="BX71" i="10" s="1"/>
  <c r="BP48" i="10"/>
  <c r="BP62" i="10" s="1"/>
  <c r="BP71" i="10" s="1"/>
  <c r="BH48" i="10"/>
  <c r="BH62" i="10" s="1"/>
  <c r="BH71" i="10" s="1"/>
  <c r="AZ48" i="10"/>
  <c r="AZ62" i="10" s="1"/>
  <c r="AZ71" i="10" s="1"/>
  <c r="AR48" i="10"/>
  <c r="AR62" i="10" s="1"/>
  <c r="AR71" i="10" s="1"/>
  <c r="AJ48" i="10"/>
  <c r="AJ62" i="10" s="1"/>
  <c r="AJ71" i="10" s="1"/>
  <c r="AB48" i="10"/>
  <c r="AB62" i="10" s="1"/>
  <c r="AB71" i="10" s="1"/>
  <c r="T48" i="10"/>
  <c r="T62" i="10" s="1"/>
  <c r="T71" i="10" s="1"/>
  <c r="L48" i="10"/>
  <c r="L62" i="10" s="1"/>
  <c r="L71" i="10" s="1"/>
  <c r="D48" i="10"/>
  <c r="D62" i="10" s="1"/>
  <c r="D71" i="10" s="1"/>
  <c r="BW48" i="10"/>
  <c r="BW62" i="10" s="1"/>
  <c r="BW71" i="10" s="1"/>
  <c r="BG48" i="10"/>
  <c r="BG62" i="10" s="1"/>
  <c r="BG71" i="10" s="1"/>
  <c r="AA48" i="10"/>
  <c r="AA62" i="10" s="1"/>
  <c r="AA71" i="10" s="1"/>
  <c r="K48" i="10"/>
  <c r="K62" i="10" s="1"/>
  <c r="K71" i="10" s="1"/>
  <c r="BN48" i="10"/>
  <c r="BN62" i="10" s="1"/>
  <c r="BN71" i="10" s="1"/>
  <c r="AX48" i="10"/>
  <c r="AX62" i="10" s="1"/>
  <c r="AX71" i="10" s="1"/>
  <c r="AH48" i="10"/>
  <c r="AH62" i="10" s="1"/>
  <c r="AH71" i="10" s="1"/>
  <c r="R48" i="10"/>
  <c r="R62" i="10" s="1"/>
  <c r="R71" i="10" s="1"/>
  <c r="B511" i="1" s="1"/>
  <c r="CC48" i="10"/>
  <c r="CC62" i="10" s="1"/>
  <c r="CC71" i="10" s="1"/>
  <c r="BM48" i="10"/>
  <c r="BM62" i="10" s="1"/>
  <c r="BM71" i="10" s="1"/>
  <c r="AW48" i="10"/>
  <c r="AW62" i="10" s="1"/>
  <c r="AW71" i="10" s="1"/>
  <c r="AG48" i="10"/>
  <c r="AG62" i="10" s="1"/>
  <c r="AG71" i="10" s="1"/>
  <c r="Q48" i="10"/>
  <c r="Q62" i="10" s="1"/>
  <c r="Q71" i="10" s="1"/>
  <c r="AM48" i="10"/>
  <c r="AM62" i="10" s="1"/>
  <c r="AM71" i="10" s="1"/>
  <c r="G48" i="10"/>
  <c r="G62" i="10" s="1"/>
  <c r="G71" i="10" s="1"/>
  <c r="CB48" i="10"/>
  <c r="CB62" i="10" s="1"/>
  <c r="CB71" i="10" s="1"/>
  <c r="B573" i="1" s="1"/>
  <c r="BL48" i="10"/>
  <c r="BL62" i="10" s="1"/>
  <c r="BL71" i="10" s="1"/>
  <c r="AV48" i="10"/>
  <c r="AV62" i="10" s="1"/>
  <c r="AV71" i="10" s="1"/>
  <c r="AF48" i="10"/>
  <c r="AF62" i="10" s="1"/>
  <c r="P48" i="10"/>
  <c r="P62" i="10" s="1"/>
  <c r="P71" i="10" s="1"/>
  <c r="CA48" i="10"/>
  <c r="CA62" i="10" s="1"/>
  <c r="CA71" i="10" s="1"/>
  <c r="BK48" i="10"/>
  <c r="BK62" i="10" s="1"/>
  <c r="BK71" i="10" s="1"/>
  <c r="AU48" i="10"/>
  <c r="AU62" i="10" s="1"/>
  <c r="AE48" i="10"/>
  <c r="AE62" i="10" s="1"/>
  <c r="AE71" i="10" s="1"/>
  <c r="O48" i="10"/>
  <c r="O62" i="10" s="1"/>
  <c r="O71" i="10" s="1"/>
  <c r="X48" i="10"/>
  <c r="X62" i="10" s="1"/>
  <c r="X71" i="10" s="1"/>
  <c r="BS48" i="10"/>
  <c r="BS62" i="10" s="1"/>
  <c r="W48" i="10"/>
  <c r="W62" i="10" s="1"/>
  <c r="W71" i="10" s="1"/>
  <c r="BV48" i="10"/>
  <c r="BV62" i="10" s="1"/>
  <c r="BV71" i="10" s="1"/>
  <c r="BF48" i="10"/>
  <c r="BF62" i="10" s="1"/>
  <c r="BF71" i="10" s="1"/>
  <c r="AP48" i="10"/>
  <c r="AP62" i="10" s="1"/>
  <c r="AP71" i="10" s="1"/>
  <c r="Z48" i="10"/>
  <c r="Z62" i="10" s="1"/>
  <c r="Z71" i="10" s="1"/>
  <c r="J48" i="10"/>
  <c r="J62" i="10" s="1"/>
  <c r="J71" i="10" s="1"/>
  <c r="BU48" i="10"/>
  <c r="BU62" i="10" s="1"/>
  <c r="BU71" i="10" s="1"/>
  <c r="BE48" i="10"/>
  <c r="BE62" i="10" s="1"/>
  <c r="BE71" i="10" s="1"/>
  <c r="AO48" i="10"/>
  <c r="AO62" i="10" s="1"/>
  <c r="AO71" i="10" s="1"/>
  <c r="Y48" i="10"/>
  <c r="Y62" i="10" s="1"/>
  <c r="Y71" i="10" s="1"/>
  <c r="I48" i="10"/>
  <c r="I62" i="10" s="1"/>
  <c r="I71" i="10" s="1"/>
  <c r="BT48" i="10"/>
  <c r="BT62" i="10" s="1"/>
  <c r="BD48" i="10"/>
  <c r="BD62" i="10" s="1"/>
  <c r="BD71" i="10" s="1"/>
  <c r="AN48" i="10"/>
  <c r="AN62" i="10" s="1"/>
  <c r="AN71" i="10" s="1"/>
  <c r="H48" i="10"/>
  <c r="H62" i="10" s="1"/>
  <c r="H71" i="10" s="1"/>
  <c r="BC48" i="10"/>
  <c r="BC62" i="10" s="1"/>
  <c r="BC71" i="10" s="1"/>
  <c r="E204" i="10"/>
  <c r="C476" i="10" s="1"/>
  <c r="A493" i="1"/>
  <c r="C115" i="8"/>
  <c r="C444" i="1"/>
  <c r="D367" i="1"/>
  <c r="C119" i="8" s="1"/>
  <c r="D221" i="1"/>
  <c r="D5" i="7" s="1"/>
  <c r="D12" i="6"/>
  <c r="I286" i="9"/>
  <c r="G159" i="9"/>
  <c r="D127" i="9"/>
  <c r="I63" i="9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I362" i="9"/>
  <c r="C429" i="1"/>
  <c r="I365" i="9"/>
  <c r="I368" i="9"/>
  <c r="C434" i="1"/>
  <c r="I370" i="9"/>
  <c r="I186" i="9"/>
  <c r="D218" i="9"/>
  <c r="E218" i="9"/>
  <c r="E186" i="9"/>
  <c r="D186" i="9"/>
  <c r="F154" i="9"/>
  <c r="I122" i="9"/>
  <c r="F122" i="9"/>
  <c r="E122" i="9"/>
  <c r="I90" i="9"/>
  <c r="H90" i="9"/>
  <c r="F90" i="9"/>
  <c r="C90" i="9"/>
  <c r="F58" i="9"/>
  <c r="I26" i="9"/>
  <c r="H26" i="9"/>
  <c r="G186" i="9"/>
  <c r="C154" i="9"/>
  <c r="D122" i="9"/>
  <c r="G90" i="9"/>
  <c r="E90" i="9"/>
  <c r="C26" i="9"/>
  <c r="I382" i="9"/>
  <c r="D361" i="1"/>
  <c r="C112" i="8" s="1"/>
  <c r="D372" i="1"/>
  <c r="C125" i="8" s="1"/>
  <c r="D260" i="1"/>
  <c r="C16" i="8" s="1"/>
  <c r="D265" i="1"/>
  <c r="C22" i="8" s="1"/>
  <c r="D275" i="1"/>
  <c r="D277" i="1" s="1"/>
  <c r="C35" i="8" s="1"/>
  <c r="D290" i="1"/>
  <c r="D314" i="1"/>
  <c r="C68" i="8" s="1"/>
  <c r="D319" i="1"/>
  <c r="C74" i="8" s="1"/>
  <c r="D328" i="1"/>
  <c r="C84" i="8" s="1"/>
  <c r="D329" i="1"/>
  <c r="D229" i="1"/>
  <c r="B445" i="1" s="1"/>
  <c r="D236" i="1"/>
  <c r="D240" i="1"/>
  <c r="E209" i="1"/>
  <c r="F24" i="6" s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E216" i="1"/>
  <c r="F31" i="6" s="1"/>
  <c r="D217" i="1"/>
  <c r="E32" i="6" s="1"/>
  <c r="C217" i="1"/>
  <c r="E196" i="1"/>
  <c r="F8" i="6" s="1"/>
  <c r="E197" i="1"/>
  <c r="C470" i="1" s="1"/>
  <c r="E198" i="1"/>
  <c r="E199" i="1"/>
  <c r="E200" i="1"/>
  <c r="E201" i="1"/>
  <c r="E202" i="1"/>
  <c r="C474" i="1" s="1"/>
  <c r="E203" i="1"/>
  <c r="D204" i="1"/>
  <c r="E16" i="6" s="1"/>
  <c r="B204" i="1"/>
  <c r="C16" i="6" s="1"/>
  <c r="D190" i="1"/>
  <c r="D437" i="1" s="1"/>
  <c r="D186" i="1"/>
  <c r="C34" i="5" s="1"/>
  <c r="D181" i="1"/>
  <c r="D435" i="1" s="1"/>
  <c r="D177" i="1"/>
  <c r="C20" i="5" s="1"/>
  <c r="E154" i="1"/>
  <c r="E153" i="1"/>
  <c r="E152" i="1"/>
  <c r="E151" i="1"/>
  <c r="E150" i="1"/>
  <c r="E148" i="1"/>
  <c r="F19" i="4" s="1"/>
  <c r="E147" i="1"/>
  <c r="E146" i="1"/>
  <c r="D19" i="4" s="1"/>
  <c r="E145" i="1"/>
  <c r="C19" i="4" s="1"/>
  <c r="E144" i="1"/>
  <c r="B19" i="4" s="1"/>
  <c r="E141" i="1"/>
  <c r="E10" i="4" s="1"/>
  <c r="E140" i="1"/>
  <c r="D10" i="4" s="1"/>
  <c r="E139" i="1"/>
  <c r="C415" i="1" s="1"/>
  <c r="E127" i="1"/>
  <c r="B53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C475" i="1"/>
  <c r="B475" i="1"/>
  <c r="B474" i="1"/>
  <c r="B473" i="1"/>
  <c r="C472" i="1"/>
  <c r="B472" i="1"/>
  <c r="B471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8" i="1"/>
  <c r="C447" i="1"/>
  <c r="B447" i="1"/>
  <c r="C446" i="1"/>
  <c r="C445" i="1"/>
  <c r="C431" i="1"/>
  <c r="C432" i="1"/>
  <c r="B438" i="1"/>
  <c r="B439" i="1"/>
  <c r="C439" i="1"/>
  <c r="C438" i="1"/>
  <c r="B437" i="1"/>
  <c r="B436" i="1"/>
  <c r="B435" i="1"/>
  <c r="B434" i="1"/>
  <c r="D433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D32" i="6"/>
  <c r="E31" i="6"/>
  <c r="D31" i="6"/>
  <c r="F30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F15" i="6"/>
  <c r="E15" i="6"/>
  <c r="D15" i="6"/>
  <c r="E14" i="6"/>
  <c r="D14" i="6"/>
  <c r="E13" i="6"/>
  <c r="D13" i="6"/>
  <c r="E12" i="6"/>
  <c r="F11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I363" i="9"/>
  <c r="D436" i="1"/>
  <c r="F12" i="6"/>
  <c r="C469" i="1"/>
  <c r="G122" i="9"/>
  <c r="H58" i="9"/>
  <c r="D366" i="9"/>
  <c r="D368" i="9"/>
  <c r="C276" i="9"/>
  <c r="C458" i="1"/>
  <c r="I29" i="9"/>
  <c r="C95" i="9"/>
  <c r="E142" i="1"/>
  <c r="G9" i="4"/>
  <c r="F9" i="4"/>
  <c r="E138" i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D428" i="1" s="1"/>
  <c r="C204" i="9"/>
  <c r="G12" i="9"/>
  <c r="C427" i="1"/>
  <c r="E373" i="9"/>
  <c r="C615" i="1"/>
  <c r="I612" i="1"/>
  <c r="E372" i="9"/>
  <c r="E44" i="9"/>
  <c r="I300" i="9"/>
  <c r="J612" i="1"/>
  <c r="C575" i="1"/>
  <c r="I381" i="9"/>
  <c r="G612" i="1"/>
  <c r="E140" i="9"/>
  <c r="E172" i="9"/>
  <c r="C236" i="9"/>
  <c r="D463" i="1" l="1"/>
  <c r="D117" i="9"/>
  <c r="E108" i="9"/>
  <c r="F108" i="9"/>
  <c r="C530" i="1"/>
  <c r="G530" i="1" s="1"/>
  <c r="C697" i="1"/>
  <c r="C44" i="9"/>
  <c r="H140" i="9"/>
  <c r="C140" i="9"/>
  <c r="D44" i="9"/>
  <c r="I12" i="9"/>
  <c r="E28" i="4"/>
  <c r="G19" i="4"/>
  <c r="C417" i="1"/>
  <c r="B440" i="1"/>
  <c r="C141" i="8"/>
  <c r="C33" i="8"/>
  <c r="C10" i="4"/>
  <c r="C76" i="9"/>
  <c r="F76" i="9"/>
  <c r="F332" i="9"/>
  <c r="D300" i="9"/>
  <c r="H332" i="9"/>
  <c r="C414" i="1"/>
  <c r="B10" i="4"/>
  <c r="F10" i="4"/>
  <c r="G10" i="4"/>
  <c r="F612" i="1"/>
  <c r="C430" i="1"/>
  <c r="I366" i="9"/>
  <c r="C28" i="4"/>
  <c r="C421" i="1"/>
  <c r="F26" i="9"/>
  <c r="BI71" i="10"/>
  <c r="CE52" i="10"/>
  <c r="I372" i="9"/>
  <c r="F236" i="9"/>
  <c r="D13" i="7"/>
  <c r="E154" i="9"/>
  <c r="D154" i="9"/>
  <c r="B444" i="1"/>
  <c r="C525" i="1"/>
  <c r="G525" i="1" s="1"/>
  <c r="C14" i="5"/>
  <c r="D140" i="9"/>
  <c r="I172" i="9"/>
  <c r="G236" i="9"/>
  <c r="E300" i="9"/>
  <c r="F172" i="9"/>
  <c r="C332" i="9"/>
  <c r="E26" i="9"/>
  <c r="H122" i="9"/>
  <c r="I154" i="9"/>
  <c r="F13" i="6"/>
  <c r="C473" i="1"/>
  <c r="I377" i="9"/>
  <c r="C464" i="1"/>
  <c r="G154" i="9"/>
  <c r="D76" i="9"/>
  <c r="D268" i="9"/>
  <c r="D236" i="9"/>
  <c r="G108" i="9"/>
  <c r="F9" i="6"/>
  <c r="E58" i="9"/>
  <c r="I58" i="9"/>
  <c r="C122" i="9"/>
  <c r="H186" i="9"/>
  <c r="H612" i="1"/>
  <c r="I380" i="9"/>
  <c r="D612" i="1"/>
  <c r="C218" i="9"/>
  <c r="H12" i="9"/>
  <c r="G28" i="4"/>
  <c r="F28" i="4"/>
  <c r="I371" i="9"/>
  <c r="C440" i="1"/>
  <c r="I268" i="9"/>
  <c r="C85" i="8"/>
  <c r="D330" i="1"/>
  <c r="C86" i="8" s="1"/>
  <c r="C186" i="9"/>
  <c r="I332" i="9"/>
  <c r="H300" i="9"/>
  <c r="D172" i="9"/>
  <c r="D368" i="1"/>
  <c r="C120" i="8" s="1"/>
  <c r="E19" i="4"/>
  <c r="G58" i="9"/>
  <c r="BT71" i="10"/>
  <c r="BS71" i="10"/>
  <c r="C639" i="10" s="1"/>
  <c r="AU71" i="10"/>
  <c r="C712" i="10" s="1"/>
  <c r="AF71" i="10"/>
  <c r="CE67" i="10"/>
  <c r="C433" i="10" s="1"/>
  <c r="F511" i="1"/>
  <c r="C624" i="10"/>
  <c r="C549" i="10"/>
  <c r="C711" i="10"/>
  <c r="C539" i="10"/>
  <c r="G539" i="10" s="1"/>
  <c r="C640" i="10"/>
  <c r="C565" i="10"/>
  <c r="C707" i="10"/>
  <c r="C535" i="10"/>
  <c r="G535" i="10" s="1"/>
  <c r="C672" i="10"/>
  <c r="C500" i="10"/>
  <c r="G500" i="10" s="1"/>
  <c r="C699" i="10"/>
  <c r="C527" i="10"/>
  <c r="G527" i="10" s="1"/>
  <c r="C677" i="10"/>
  <c r="C505" i="10"/>
  <c r="G505" i="10" s="1"/>
  <c r="C644" i="10"/>
  <c r="C569" i="10"/>
  <c r="C678" i="10"/>
  <c r="C506" i="10"/>
  <c r="G506" i="10" s="1"/>
  <c r="C645" i="10"/>
  <c r="C570" i="10"/>
  <c r="C632" i="10"/>
  <c r="C547" i="10"/>
  <c r="C562" i="10"/>
  <c r="C623" i="10"/>
  <c r="C674" i="10"/>
  <c r="C502" i="10"/>
  <c r="G502" i="10" s="1"/>
  <c r="C551" i="10"/>
  <c r="C629" i="10"/>
  <c r="C635" i="10"/>
  <c r="C556" i="10"/>
  <c r="C704" i="10"/>
  <c r="C532" i="10"/>
  <c r="G532" i="10" s="1"/>
  <c r="C543" i="10"/>
  <c r="C616" i="10"/>
  <c r="C685" i="10"/>
  <c r="C513" i="10"/>
  <c r="G513" i="10" s="1"/>
  <c r="C686" i="10"/>
  <c r="C514" i="10"/>
  <c r="C528" i="10"/>
  <c r="G528" i="10" s="1"/>
  <c r="C700" i="10"/>
  <c r="C555" i="10"/>
  <c r="C617" i="10"/>
  <c r="C670" i="10"/>
  <c r="C498" i="10"/>
  <c r="C690" i="10"/>
  <c r="C518" i="10"/>
  <c r="C642" i="10"/>
  <c r="C567" i="10"/>
  <c r="C572" i="10"/>
  <c r="C647" i="10"/>
  <c r="C510" i="10"/>
  <c r="C682" i="10"/>
  <c r="C559" i="10"/>
  <c r="C619" i="10"/>
  <c r="C693" i="10"/>
  <c r="C521" i="10"/>
  <c r="CE48" i="10"/>
  <c r="C62" i="10"/>
  <c r="C522" i="10"/>
  <c r="C694" i="10"/>
  <c r="C671" i="10"/>
  <c r="C499" i="10"/>
  <c r="G499" i="10" s="1"/>
  <c r="C563" i="10"/>
  <c r="C626" i="10"/>
  <c r="C524" i="10"/>
  <c r="C696" i="10"/>
  <c r="C669" i="10"/>
  <c r="C497" i="10"/>
  <c r="G497" i="10" s="1"/>
  <c r="C706" i="10"/>
  <c r="C534" i="10"/>
  <c r="G534" i="10" s="1"/>
  <c r="C688" i="10"/>
  <c r="C516" i="10"/>
  <c r="G516" i="10" s="1"/>
  <c r="C681" i="10"/>
  <c r="C509" i="10"/>
  <c r="C698" i="10"/>
  <c r="C526" i="10"/>
  <c r="G526" i="10" s="1"/>
  <c r="C676" i="10"/>
  <c r="C504" i="10"/>
  <c r="G504" i="10" s="1"/>
  <c r="C701" i="10"/>
  <c r="C529" i="10"/>
  <c r="C684" i="10"/>
  <c r="C512" i="10"/>
  <c r="G512" i="10" s="1"/>
  <c r="C702" i="10"/>
  <c r="C530" i="10"/>
  <c r="C679" i="10"/>
  <c r="C507" i="10"/>
  <c r="G507" i="10" s="1"/>
  <c r="C571" i="10"/>
  <c r="C646" i="10"/>
  <c r="C561" i="10"/>
  <c r="C621" i="10"/>
  <c r="C633" i="10"/>
  <c r="C548" i="10"/>
  <c r="C614" i="10"/>
  <c r="C550" i="10"/>
  <c r="G550" i="10" s="1"/>
  <c r="C697" i="10"/>
  <c r="C525" i="10"/>
  <c r="G525" i="10" s="1"/>
  <c r="C631" i="10"/>
  <c r="C542" i="10"/>
  <c r="C692" i="10"/>
  <c r="C520" i="10"/>
  <c r="G520" i="10" s="1"/>
  <c r="C709" i="10"/>
  <c r="C537" i="10"/>
  <c r="G537" i="10" s="1"/>
  <c r="C708" i="10"/>
  <c r="C536" i="10"/>
  <c r="G536" i="10" s="1"/>
  <c r="C710" i="10"/>
  <c r="C538" i="10"/>
  <c r="G538" i="10" s="1"/>
  <c r="C687" i="10"/>
  <c r="C515" i="10"/>
  <c r="G515" i="10" s="1"/>
  <c r="C691" i="10"/>
  <c r="C519" i="10"/>
  <c r="G519" i="10" s="1"/>
  <c r="C573" i="10"/>
  <c r="C622" i="10"/>
  <c r="C673" i="10"/>
  <c r="C501" i="10"/>
  <c r="G501" i="10" s="1"/>
  <c r="C641" i="10"/>
  <c r="C566" i="10"/>
  <c r="C689" i="10"/>
  <c r="C517" i="10"/>
  <c r="G517" i="10" s="1"/>
  <c r="C713" i="10"/>
  <c r="C541" i="10"/>
  <c r="C638" i="10"/>
  <c r="C558" i="10"/>
  <c r="C552" i="10"/>
  <c r="C618" i="10"/>
  <c r="C628" i="10"/>
  <c r="C545" i="10"/>
  <c r="C625" i="10"/>
  <c r="C544" i="10"/>
  <c r="C630" i="10"/>
  <c r="C546" i="10"/>
  <c r="C695" i="10"/>
  <c r="C523" i="10"/>
  <c r="G523" i="10" s="1"/>
  <c r="C683" i="10"/>
  <c r="C511" i="10"/>
  <c r="C533" i="10"/>
  <c r="G533" i="10" s="1"/>
  <c r="C705" i="10"/>
  <c r="C675" i="10"/>
  <c r="C503" i="10"/>
  <c r="G503" i="10" s="1"/>
  <c r="C680" i="10"/>
  <c r="C508" i="10"/>
  <c r="G508" i="10" s="1"/>
  <c r="C637" i="10"/>
  <c r="C557" i="10"/>
  <c r="C574" i="10"/>
  <c r="C620" i="10"/>
  <c r="C643" i="10"/>
  <c r="C568" i="10"/>
  <c r="C636" i="10"/>
  <c r="C553" i="10"/>
  <c r="C627" i="10"/>
  <c r="C560" i="10"/>
  <c r="C634" i="10"/>
  <c r="C554" i="10"/>
  <c r="C703" i="10"/>
  <c r="C531" i="10"/>
  <c r="G531" i="10" s="1"/>
  <c r="B525" i="1"/>
  <c r="B551" i="1"/>
  <c r="B543" i="1"/>
  <c r="B549" i="1"/>
  <c r="B557" i="1"/>
  <c r="B501" i="1"/>
  <c r="B517" i="1"/>
  <c r="B509" i="1"/>
  <c r="B513" i="1"/>
  <c r="B537" i="1"/>
  <c r="B547" i="1"/>
  <c r="B534" i="1"/>
  <c r="B538" i="1"/>
  <c r="B566" i="1"/>
  <c r="B524" i="1"/>
  <c r="B558" i="1"/>
  <c r="B542" i="1"/>
  <c r="B506" i="1"/>
  <c r="B531" i="1"/>
  <c r="B570" i="1"/>
  <c r="B535" i="1"/>
  <c r="B514" i="1"/>
  <c r="B562" i="1"/>
  <c r="B546" i="1"/>
  <c r="B518" i="1"/>
  <c r="B532" i="1"/>
  <c r="B516" i="1"/>
  <c r="B561" i="1"/>
  <c r="B550" i="1"/>
  <c r="B555" i="1"/>
  <c r="B560" i="1"/>
  <c r="B548" i="1"/>
  <c r="B497" i="1"/>
  <c r="B545" i="1"/>
  <c r="B571" i="1"/>
  <c r="B541" i="1"/>
  <c r="B554" i="1"/>
  <c r="B530" i="1"/>
  <c r="B556" i="1"/>
  <c r="B568" i="1"/>
  <c r="B553" i="1"/>
  <c r="B529" i="1"/>
  <c r="B559" i="1"/>
  <c r="B507" i="1"/>
  <c r="B563" i="1"/>
  <c r="B569" i="1"/>
  <c r="B498" i="1"/>
  <c r="B564" i="1"/>
  <c r="B567" i="1"/>
  <c r="B574" i="1"/>
  <c r="B499" i="1"/>
  <c r="B527" i="1"/>
  <c r="B505" i="1"/>
  <c r="B572" i="1"/>
  <c r="B503" i="1"/>
  <c r="B522" i="1"/>
  <c r="B544" i="1"/>
  <c r="B519" i="1"/>
  <c r="B504" i="1"/>
  <c r="B528" i="1"/>
  <c r="B533" i="1"/>
  <c r="B521" i="1"/>
  <c r="B510" i="1"/>
  <c r="B508" i="1"/>
  <c r="B520" i="1"/>
  <c r="B552" i="1"/>
  <c r="B539" i="1"/>
  <c r="B512" i="1"/>
  <c r="B515" i="1"/>
  <c r="B526" i="1"/>
  <c r="B502" i="1"/>
  <c r="B565" i="1"/>
  <c r="B536" i="1"/>
  <c r="B500" i="1"/>
  <c r="B523" i="1"/>
  <c r="F140" i="9"/>
  <c r="D12" i="9"/>
  <c r="E49" i="9"/>
  <c r="I108" i="9"/>
  <c r="D204" i="9"/>
  <c r="F268" i="9"/>
  <c r="G332" i="9"/>
  <c r="C300" i="9"/>
  <c r="H76" i="9"/>
  <c r="G172" i="9"/>
  <c r="I236" i="9"/>
  <c r="D332" i="9"/>
  <c r="H204" i="9"/>
  <c r="G44" i="9"/>
  <c r="C172" i="9"/>
  <c r="E236" i="9"/>
  <c r="G300" i="9"/>
  <c r="F44" i="9"/>
  <c r="H44" i="9"/>
  <c r="B446" i="1"/>
  <c r="D242" i="1"/>
  <c r="F12" i="9"/>
  <c r="E332" i="9"/>
  <c r="E12" i="9"/>
  <c r="C418" i="1"/>
  <c r="D438" i="1"/>
  <c r="C108" i="9"/>
  <c r="F14" i="6"/>
  <c r="C471" i="1"/>
  <c r="F10" i="6"/>
  <c r="D339" i="1"/>
  <c r="D26" i="9"/>
  <c r="G204" i="9"/>
  <c r="D108" i="9"/>
  <c r="E204" i="9"/>
  <c r="F7" i="6"/>
  <c r="E204" i="1"/>
  <c r="C468" i="1"/>
  <c r="I383" i="9"/>
  <c r="D22" i="7"/>
  <c r="C40" i="5"/>
  <c r="I76" i="9"/>
  <c r="C420" i="1"/>
  <c r="B28" i="4"/>
  <c r="F186" i="9"/>
  <c r="I204" i="9"/>
  <c r="H172" i="9"/>
  <c r="I376" i="9"/>
  <c r="C463" i="1"/>
  <c r="D58" i="9"/>
  <c r="G26" i="9"/>
  <c r="E217" i="1"/>
  <c r="I384" i="9"/>
  <c r="L612" i="1"/>
  <c r="F218" i="9"/>
  <c r="D90" i="9"/>
  <c r="D364" i="9"/>
  <c r="D464" i="1"/>
  <c r="D465" i="1" s="1"/>
  <c r="H154" i="9"/>
  <c r="I367" i="9"/>
  <c r="D434" i="1"/>
  <c r="D292" i="1"/>
  <c r="C58" i="9"/>
  <c r="C549" i="1" l="1"/>
  <c r="C624" i="1"/>
  <c r="G245" i="9"/>
  <c r="E213" i="9"/>
  <c r="C540" i="1"/>
  <c r="G540" i="1" s="1"/>
  <c r="C712" i="1"/>
  <c r="C677" i="1"/>
  <c r="E53" i="9"/>
  <c r="C505" i="1"/>
  <c r="G505" i="1" s="1"/>
  <c r="C683" i="1"/>
  <c r="D85" i="9"/>
  <c r="C511" i="1"/>
  <c r="I277" i="9"/>
  <c r="C638" i="1"/>
  <c r="H149" i="9"/>
  <c r="C529" i="1"/>
  <c r="G529" i="1" s="1"/>
  <c r="C701" i="1"/>
  <c r="H268" i="9"/>
  <c r="G53" i="9"/>
  <c r="C690" i="1"/>
  <c r="I44" i="9"/>
  <c r="E76" i="9"/>
  <c r="G268" i="9"/>
  <c r="F300" i="9"/>
  <c r="F204" i="9"/>
  <c r="G140" i="9"/>
  <c r="D81" i="9"/>
  <c r="F209" i="9"/>
  <c r="C518" i="1"/>
  <c r="G518" i="1" s="1"/>
  <c r="G76" i="9"/>
  <c r="I140" i="9"/>
  <c r="C574" i="1"/>
  <c r="H108" i="9"/>
  <c r="C622" i="1"/>
  <c r="C550" i="1"/>
  <c r="I149" i="9"/>
  <c r="C702" i="1"/>
  <c r="I177" i="9"/>
  <c r="H273" i="9"/>
  <c r="D149" i="9"/>
  <c r="E268" i="9"/>
  <c r="C546" i="1"/>
  <c r="G546" i="1" s="1"/>
  <c r="C268" i="9"/>
  <c r="C364" i="9"/>
  <c r="H236" i="9"/>
  <c r="C558" i="1"/>
  <c r="C503" i="1"/>
  <c r="G503" i="1" s="1"/>
  <c r="C675" i="1"/>
  <c r="C53" i="9"/>
  <c r="D373" i="1"/>
  <c r="C49" i="9"/>
  <c r="C273" i="9"/>
  <c r="C177" i="9"/>
  <c r="D113" i="9"/>
  <c r="H305" i="9"/>
  <c r="G81" i="9"/>
  <c r="E81" i="9"/>
  <c r="D145" i="9"/>
  <c r="C571" i="1"/>
  <c r="C17" i="9"/>
  <c r="E273" i="9"/>
  <c r="C564" i="10"/>
  <c r="C540" i="10"/>
  <c r="G540" i="10" s="1"/>
  <c r="E209" i="9"/>
  <c r="I81" i="9"/>
  <c r="C640" i="1"/>
  <c r="C12" i="9"/>
  <c r="C698" i="1"/>
  <c r="G85" i="9"/>
  <c r="C514" i="1"/>
  <c r="G514" i="1" s="1"/>
  <c r="C686" i="1"/>
  <c r="F341" i="9"/>
  <c r="H145" i="9"/>
  <c r="H113" i="9"/>
  <c r="D49" i="9"/>
  <c r="C614" i="1"/>
  <c r="G117" i="9"/>
  <c r="C693" i="1"/>
  <c r="C685" i="1"/>
  <c r="F85" i="9"/>
  <c r="C513" i="1"/>
  <c r="G513" i="1" s="1"/>
  <c r="G49" i="9"/>
  <c r="B540" i="1"/>
  <c r="H540" i="1" s="1"/>
  <c r="H177" i="9"/>
  <c r="G145" i="9"/>
  <c r="E241" i="9"/>
  <c r="I113" i="9"/>
  <c r="D209" i="9"/>
  <c r="C617" i="1"/>
  <c r="C526" i="1"/>
  <c r="G526" i="1" s="1"/>
  <c r="C521" i="1"/>
  <c r="G521" i="1" s="1"/>
  <c r="C569" i="1"/>
  <c r="I341" i="9"/>
  <c r="C682" i="1"/>
  <c r="C646" i="1"/>
  <c r="C630" i="1"/>
  <c r="F245" i="9"/>
  <c r="G530" i="10"/>
  <c r="H530" i="10"/>
  <c r="G498" i="10"/>
  <c r="H498" i="10" s="1"/>
  <c r="G544" i="10"/>
  <c r="H544" i="10"/>
  <c r="G522" i="10"/>
  <c r="H522" i="10"/>
  <c r="G510" i="10"/>
  <c r="H510" i="10"/>
  <c r="G509" i="10"/>
  <c r="H509" i="10"/>
  <c r="CE62" i="10"/>
  <c r="C71" i="10"/>
  <c r="H511" i="10"/>
  <c r="G511" i="10"/>
  <c r="G545" i="10"/>
  <c r="H545" i="10" s="1"/>
  <c r="H524" i="10"/>
  <c r="G524" i="10"/>
  <c r="G521" i="10"/>
  <c r="H521" i="10"/>
  <c r="G529" i="10"/>
  <c r="H529" i="10"/>
  <c r="H518" i="10"/>
  <c r="G518" i="10"/>
  <c r="H514" i="10"/>
  <c r="G514" i="10"/>
  <c r="G546" i="10"/>
  <c r="H546" i="10"/>
  <c r="C648" i="10"/>
  <c r="M716" i="10" s="1"/>
  <c r="D615" i="10"/>
  <c r="H501" i="1"/>
  <c r="F501" i="1"/>
  <c r="F517" i="1"/>
  <c r="H517" i="1"/>
  <c r="F499" i="1"/>
  <c r="H499" i="1"/>
  <c r="H505" i="1"/>
  <c r="F505" i="1"/>
  <c r="H497" i="1"/>
  <c r="F497" i="1"/>
  <c r="F515" i="1"/>
  <c r="H515" i="1"/>
  <c r="G17" i="9"/>
  <c r="I273" i="9"/>
  <c r="D27" i="7"/>
  <c r="B448" i="1"/>
  <c r="C497" i="1"/>
  <c r="G497" i="1" s="1"/>
  <c r="C669" i="1"/>
  <c r="D21" i="9"/>
  <c r="F544" i="1"/>
  <c r="H536" i="1"/>
  <c r="F536" i="1"/>
  <c r="F528" i="1"/>
  <c r="H528" i="1"/>
  <c r="F520" i="1"/>
  <c r="H520" i="1"/>
  <c r="D341" i="1"/>
  <c r="C481" i="1" s="1"/>
  <c r="C50" i="8"/>
  <c r="D309" i="9"/>
  <c r="C627" i="1"/>
  <c r="C560" i="1"/>
  <c r="C620" i="1"/>
  <c r="H209" i="9"/>
  <c r="D337" i="9"/>
  <c r="F81" i="9"/>
  <c r="I209" i="9"/>
  <c r="I241" i="9"/>
  <c r="C522" i="1"/>
  <c r="G522" i="1" s="1"/>
  <c r="C694" i="1"/>
  <c r="H117" i="9"/>
  <c r="I378" i="9"/>
  <c r="K612" i="1"/>
  <c r="C465" i="1"/>
  <c r="G149" i="9"/>
  <c r="C528" i="1"/>
  <c r="G528" i="1" s="1"/>
  <c r="C700" i="1"/>
  <c r="C520" i="1"/>
  <c r="G520" i="1" s="1"/>
  <c r="C692" i="1"/>
  <c r="F117" i="9"/>
  <c r="C616" i="1"/>
  <c r="C543" i="1"/>
  <c r="H213" i="9"/>
  <c r="C619" i="1"/>
  <c r="C559" i="1"/>
  <c r="C309" i="9"/>
  <c r="C126" i="8"/>
  <c r="D391" i="1"/>
  <c r="F32" i="6"/>
  <c r="C478" i="1"/>
  <c r="C305" i="9"/>
  <c r="C536" i="1"/>
  <c r="G536" i="1" s="1"/>
  <c r="H181" i="9"/>
  <c r="C708" i="1"/>
  <c r="C102" i="8"/>
  <c r="C482" i="1"/>
  <c r="C498" i="1"/>
  <c r="G498" i="1" s="1"/>
  <c r="E21" i="9"/>
  <c r="C670" i="1"/>
  <c r="F498" i="1"/>
  <c r="C501" i="1"/>
  <c r="G501" i="1" s="1"/>
  <c r="H21" i="9"/>
  <c r="C673" i="1"/>
  <c r="H241" i="9"/>
  <c r="I145" i="9"/>
  <c r="G209" i="9"/>
  <c r="G337" i="9"/>
  <c r="D177" i="9"/>
  <c r="C516" i="1"/>
  <c r="G516" i="1" s="1"/>
  <c r="I85" i="9"/>
  <c r="C688" i="1"/>
  <c r="C476" i="1"/>
  <c r="F16" i="6"/>
  <c r="C672" i="1"/>
  <c r="C500" i="1"/>
  <c r="G500" i="1" s="1"/>
  <c r="G21" i="9"/>
  <c r="H53" i="9"/>
  <c r="C680" i="1"/>
  <c r="C508" i="1"/>
  <c r="G508" i="1" s="1"/>
  <c r="C563" i="1"/>
  <c r="G309" i="9"/>
  <c r="C626" i="1"/>
  <c r="E245" i="9"/>
  <c r="C632" i="1"/>
  <c r="C547" i="1"/>
  <c r="C642" i="1"/>
  <c r="D341" i="9"/>
  <c r="C567" i="1"/>
  <c r="I245" i="9"/>
  <c r="C629" i="1"/>
  <c r="C551" i="1"/>
  <c r="G341" i="9"/>
  <c r="C570" i="1"/>
  <c r="C645" i="1"/>
  <c r="C711" i="1"/>
  <c r="D213" i="9"/>
  <c r="C539" i="1"/>
  <c r="G539" i="1" s="1"/>
  <c r="F516" i="1"/>
  <c r="H516" i="1"/>
  <c r="D17" i="9"/>
  <c r="F305" i="9"/>
  <c r="C181" i="9"/>
  <c r="C703" i="1"/>
  <c r="C531" i="1"/>
  <c r="G531" i="1" s="1"/>
  <c r="C699" i="1"/>
  <c r="C527" i="1"/>
  <c r="G527" i="1" s="1"/>
  <c r="F149" i="9"/>
  <c r="F540" i="1"/>
  <c r="F532" i="1"/>
  <c r="H532" i="1"/>
  <c r="F524" i="1"/>
  <c r="F550" i="1"/>
  <c r="G305" i="9"/>
  <c r="F113" i="9"/>
  <c r="F49" i="9"/>
  <c r="C369" i="9"/>
  <c r="F17" i="9"/>
  <c r="G241" i="9"/>
  <c r="I213" i="9"/>
  <c r="C625" i="1"/>
  <c r="C544" i="1"/>
  <c r="G544" i="1" s="1"/>
  <c r="C568" i="1"/>
  <c r="C643" i="1"/>
  <c r="E341" i="9"/>
  <c r="C506" i="1"/>
  <c r="G506" i="1" s="1"/>
  <c r="F53" i="9"/>
  <c r="C678" i="1"/>
  <c r="C555" i="1"/>
  <c r="C523" i="1"/>
  <c r="G523" i="1" s="1"/>
  <c r="C695" i="1"/>
  <c r="I117" i="9"/>
  <c r="I53" i="9" l="1"/>
  <c r="C681" i="1"/>
  <c r="C509" i="1"/>
  <c r="G509" i="1" s="1"/>
  <c r="C561" i="1"/>
  <c r="E309" i="9"/>
  <c r="C621" i="1"/>
  <c r="C556" i="1"/>
  <c r="C635" i="1"/>
  <c r="G277" i="9"/>
  <c r="C502" i="1"/>
  <c r="G502" i="1" s="1"/>
  <c r="C674" i="1"/>
  <c r="I21" i="9"/>
  <c r="C341" i="9"/>
  <c r="C566" i="1"/>
  <c r="C641" i="1"/>
  <c r="G550" i="1"/>
  <c r="H550" i="1" s="1"/>
  <c r="D277" i="9"/>
  <c r="C553" i="1"/>
  <c r="C636" i="1"/>
  <c r="C679" i="1"/>
  <c r="C573" i="1"/>
  <c r="C545" i="1"/>
  <c r="G545" i="1" s="1"/>
  <c r="C245" i="9"/>
  <c r="C628" i="1"/>
  <c r="D245" i="9"/>
  <c r="C710" i="1"/>
  <c r="C213" i="9"/>
  <c r="C538" i="1"/>
  <c r="G538" i="1" s="1"/>
  <c r="H245" i="9"/>
  <c r="C644" i="1"/>
  <c r="C633" i="1"/>
  <c r="C647" i="1"/>
  <c r="C510" i="1"/>
  <c r="G510" i="1" s="1"/>
  <c r="I309" i="9"/>
  <c r="H81" i="9"/>
  <c r="E85" i="9"/>
  <c r="C684" i="1"/>
  <c r="C512" i="1"/>
  <c r="G512" i="1" s="1"/>
  <c r="F309" i="9"/>
  <c r="C562" i="1"/>
  <c r="C623" i="1"/>
  <c r="C565" i="1"/>
  <c r="C618" i="1"/>
  <c r="C277" i="9"/>
  <c r="C552" i="1"/>
  <c r="G511" i="1"/>
  <c r="H511" i="1"/>
  <c r="D373" i="9"/>
  <c r="C533" i="1"/>
  <c r="G533" i="1" s="1"/>
  <c r="C705" i="1"/>
  <c r="E181" i="9"/>
  <c r="C117" i="9"/>
  <c r="C517" i="1"/>
  <c r="G517" i="1" s="1"/>
  <c r="C689" i="1"/>
  <c r="E149" i="9"/>
  <c r="F181" i="9"/>
  <c r="C706" i="1"/>
  <c r="C534" i="1"/>
  <c r="G534" i="1" s="1"/>
  <c r="H341" i="9"/>
  <c r="C572" i="1"/>
  <c r="C85" i="9"/>
  <c r="C542" i="1"/>
  <c r="G213" i="9"/>
  <c r="C631" i="1"/>
  <c r="C696" i="1"/>
  <c r="C149" i="9"/>
  <c r="C524" i="1"/>
  <c r="C704" i="1"/>
  <c r="D181" i="9"/>
  <c r="C532" i="1"/>
  <c r="G532" i="1" s="1"/>
  <c r="C676" i="1"/>
  <c r="D53" i="9"/>
  <c r="C504" i="1"/>
  <c r="G504" i="1" s="1"/>
  <c r="C548" i="1"/>
  <c r="G177" i="9"/>
  <c r="F277" i="9"/>
  <c r="C507" i="1"/>
  <c r="G507" i="1" s="1"/>
  <c r="C373" i="9"/>
  <c r="E117" i="9"/>
  <c r="C519" i="1"/>
  <c r="G519" i="1" s="1"/>
  <c r="C691" i="1"/>
  <c r="D369" i="9"/>
  <c r="C145" i="9"/>
  <c r="F21" i="9"/>
  <c r="C499" i="1"/>
  <c r="G499" i="1" s="1"/>
  <c r="C671" i="1"/>
  <c r="H309" i="9"/>
  <c r="C564" i="1"/>
  <c r="C639" i="1"/>
  <c r="E177" i="9"/>
  <c r="I337" i="9"/>
  <c r="E17" i="9"/>
  <c r="H17" i="9"/>
  <c r="F145" i="9"/>
  <c r="E337" i="9"/>
  <c r="G113" i="9"/>
  <c r="E145" i="9"/>
  <c r="I17" i="9"/>
  <c r="I364" i="9"/>
  <c r="C428" i="1"/>
  <c r="I305" i="9"/>
  <c r="H498" i="1"/>
  <c r="H544" i="1"/>
  <c r="F241" i="9"/>
  <c r="I49" i="9"/>
  <c r="C81" i="9"/>
  <c r="D273" i="9"/>
  <c r="C337" i="9"/>
  <c r="F273" i="9"/>
  <c r="C496" i="1"/>
  <c r="G496" i="1" s="1"/>
  <c r="C668" i="1"/>
  <c r="C21" i="9"/>
  <c r="D305" i="9"/>
  <c r="H49" i="9"/>
  <c r="H337" i="9"/>
  <c r="C113" i="9"/>
  <c r="E113" i="9"/>
  <c r="D241" i="9"/>
  <c r="C241" i="9"/>
  <c r="E305" i="9"/>
  <c r="G273" i="9"/>
  <c r="F337" i="9"/>
  <c r="C209" i="9"/>
  <c r="D615" i="1"/>
  <c r="F177" i="9"/>
  <c r="D712" i="10"/>
  <c r="D704" i="10"/>
  <c r="D696" i="10"/>
  <c r="D688" i="10"/>
  <c r="D680" i="10"/>
  <c r="D672" i="10"/>
  <c r="D706" i="10"/>
  <c r="D698" i="10"/>
  <c r="D690" i="10"/>
  <c r="D682" i="10"/>
  <c r="D674" i="10"/>
  <c r="D708" i="10"/>
  <c r="D700" i="10"/>
  <c r="D692" i="10"/>
  <c r="D684" i="10"/>
  <c r="D676" i="10"/>
  <c r="D668" i="10"/>
  <c r="D705" i="10"/>
  <c r="D683" i="10"/>
  <c r="D669" i="10"/>
  <c r="D637" i="10"/>
  <c r="D623" i="10"/>
  <c r="D619" i="10"/>
  <c r="D699" i="10"/>
  <c r="D685" i="10"/>
  <c r="D678" i="10"/>
  <c r="D671" i="10"/>
  <c r="D646" i="10"/>
  <c r="D643" i="10"/>
  <c r="D635" i="10"/>
  <c r="D628" i="10"/>
  <c r="D622" i="10"/>
  <c r="D618" i="10"/>
  <c r="D716" i="10"/>
  <c r="D701" i="10"/>
  <c r="D694" i="10"/>
  <c r="D687" i="10"/>
  <c r="D673" i="10"/>
  <c r="D641" i="10"/>
  <c r="D633" i="10"/>
  <c r="D629" i="10"/>
  <c r="D626" i="10"/>
  <c r="D621" i="10"/>
  <c r="D617" i="10"/>
  <c r="D686" i="10"/>
  <c r="D675" i="10"/>
  <c r="D645" i="10"/>
  <c r="D640" i="10"/>
  <c r="D710" i="10"/>
  <c r="D697" i="10"/>
  <c r="D695" i="10"/>
  <c r="D647" i="10"/>
  <c r="D632" i="10"/>
  <c r="D630" i="10"/>
  <c r="D693" i="10"/>
  <c r="D642" i="10"/>
  <c r="D625" i="10"/>
  <c r="D620" i="10"/>
  <c r="D702" i="10"/>
  <c r="D691" i="10"/>
  <c r="D689" i="10"/>
  <c r="D644" i="10"/>
  <c r="D639" i="10"/>
  <c r="D634" i="10"/>
  <c r="D713" i="10"/>
  <c r="D636" i="10"/>
  <c r="D627" i="10"/>
  <c r="D624" i="10"/>
  <c r="D711" i="10"/>
  <c r="D709" i="10"/>
  <c r="D681" i="10"/>
  <c r="D670" i="10"/>
  <c r="D631" i="10"/>
  <c r="D707" i="10"/>
  <c r="D679" i="10"/>
  <c r="D638" i="10"/>
  <c r="D677" i="10"/>
  <c r="D616" i="10"/>
  <c r="D703" i="10"/>
  <c r="C428" i="10"/>
  <c r="C441" i="10" s="1"/>
  <c r="CE71" i="10"/>
  <c r="C716" i="10" s="1"/>
  <c r="C496" i="10"/>
  <c r="G496" i="10" s="1"/>
  <c r="C668" i="10"/>
  <c r="C715" i="10" s="1"/>
  <c r="B496" i="1"/>
  <c r="H496" i="1" s="1"/>
  <c r="F522" i="1"/>
  <c r="H522" i="1"/>
  <c r="F510" i="1"/>
  <c r="F513" i="1"/>
  <c r="H513" i="1"/>
  <c r="C142" i="8"/>
  <c r="D393" i="1"/>
  <c r="F538" i="1"/>
  <c r="H538" i="1"/>
  <c r="F534" i="1"/>
  <c r="H534" i="1"/>
  <c r="H502" i="1"/>
  <c r="F502" i="1"/>
  <c r="H504" i="1"/>
  <c r="F504" i="1"/>
  <c r="H530" i="1"/>
  <c r="F530" i="1"/>
  <c r="F512" i="1"/>
  <c r="F526" i="1"/>
  <c r="H526" i="1"/>
  <c r="F503" i="1"/>
  <c r="H503" i="1"/>
  <c r="H508" i="1"/>
  <c r="F508" i="1"/>
  <c r="F514" i="1"/>
  <c r="H514" i="1"/>
  <c r="H507" i="1"/>
  <c r="F507" i="1"/>
  <c r="H518" i="1"/>
  <c r="F518" i="1"/>
  <c r="H546" i="1"/>
  <c r="F546" i="1"/>
  <c r="F506" i="1"/>
  <c r="H506" i="1"/>
  <c r="H500" i="1"/>
  <c r="F500" i="1"/>
  <c r="F509" i="1"/>
  <c r="H512" i="1" l="1"/>
  <c r="H509" i="1"/>
  <c r="H510" i="1"/>
  <c r="C537" i="1"/>
  <c r="G537" i="1" s="1"/>
  <c r="I181" i="9"/>
  <c r="C709" i="1"/>
  <c r="C713" i="1"/>
  <c r="F213" i="9"/>
  <c r="C541" i="1"/>
  <c r="G181" i="9"/>
  <c r="C707" i="1"/>
  <c r="C535" i="1"/>
  <c r="G535" i="1" s="1"/>
  <c r="E277" i="9"/>
  <c r="C634" i="1"/>
  <c r="C554" i="1"/>
  <c r="I369" i="9"/>
  <c r="C433" i="1"/>
  <c r="C441" i="1" s="1"/>
  <c r="G524" i="1"/>
  <c r="H524" i="1"/>
  <c r="C687" i="1"/>
  <c r="C515" i="1"/>
  <c r="G515" i="1" s="1"/>
  <c r="H85" i="9"/>
  <c r="C557" i="1"/>
  <c r="H277" i="9"/>
  <c r="C637" i="1"/>
  <c r="C716" i="1"/>
  <c r="I373" i="9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D684" i="1"/>
  <c r="D617" i="1"/>
  <c r="D697" i="1"/>
  <c r="D709" i="1"/>
  <c r="D636" i="1"/>
  <c r="D707" i="1"/>
  <c r="D637" i="1"/>
  <c r="D694" i="1"/>
  <c r="D647" i="1"/>
  <c r="D616" i="1"/>
  <c r="D635" i="1"/>
  <c r="D629" i="1"/>
  <c r="D620" i="1"/>
  <c r="D669" i="1"/>
  <c r="D691" i="1"/>
  <c r="D673" i="1"/>
  <c r="D670" i="1"/>
  <c r="D627" i="1"/>
  <c r="D621" i="1"/>
  <c r="D712" i="1"/>
  <c r="D678" i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632" i="1"/>
  <c r="D642" i="1"/>
  <c r="D674" i="1"/>
  <c r="D716" i="1"/>
  <c r="D685" i="1"/>
  <c r="D690" i="1"/>
  <c r="D702" i="1"/>
  <c r="D713" i="1"/>
  <c r="D698" i="1"/>
  <c r="D671" i="1"/>
  <c r="D634" i="1"/>
  <c r="D638" i="1"/>
  <c r="D703" i="1"/>
  <c r="D677" i="1"/>
  <c r="D640" i="1"/>
  <c r="D689" i="1"/>
  <c r="D701" i="1"/>
  <c r="D696" i="1"/>
  <c r="D715" i="10"/>
  <c r="E623" i="10"/>
  <c r="E612" i="10"/>
  <c r="F496" i="1"/>
  <c r="F545" i="1"/>
  <c r="H545" i="1" s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C715" i="1" l="1"/>
  <c r="E623" i="1"/>
  <c r="C648" i="1"/>
  <c r="M716" i="1" s="1"/>
  <c r="E612" i="1"/>
  <c r="D715" i="1"/>
  <c r="E709" i="10"/>
  <c r="E701" i="10"/>
  <c r="E693" i="10"/>
  <c r="E685" i="10"/>
  <c r="E677" i="10"/>
  <c r="E669" i="10"/>
  <c r="E711" i="10"/>
  <c r="E703" i="10"/>
  <c r="E695" i="10"/>
  <c r="E687" i="10"/>
  <c r="E679" i="10"/>
  <c r="E671" i="10"/>
  <c r="E713" i="10"/>
  <c r="E705" i="10"/>
  <c r="E697" i="10"/>
  <c r="E689" i="10"/>
  <c r="E681" i="10"/>
  <c r="E673" i="10"/>
  <c r="E712" i="10"/>
  <c r="E698" i="10"/>
  <c r="E691" i="10"/>
  <c r="E684" i="10"/>
  <c r="E670" i="10"/>
  <c r="E640" i="10"/>
  <c r="E632" i="10"/>
  <c r="E625" i="10"/>
  <c r="E707" i="10"/>
  <c r="E700" i="10"/>
  <c r="E686" i="10"/>
  <c r="E638" i="10"/>
  <c r="E702" i="10"/>
  <c r="E680" i="10"/>
  <c r="E647" i="10"/>
  <c r="E644" i="10"/>
  <c r="E636" i="10"/>
  <c r="E624" i="10"/>
  <c r="E710" i="10"/>
  <c r="E699" i="10"/>
  <c r="E630" i="10"/>
  <c r="E628" i="10"/>
  <c r="E708" i="10"/>
  <c r="E682" i="10"/>
  <c r="E642" i="10"/>
  <c r="E637" i="10"/>
  <c r="E706" i="10"/>
  <c r="E678" i="10"/>
  <c r="E639" i="10"/>
  <c r="E634" i="10"/>
  <c r="E716" i="10"/>
  <c r="E704" i="10"/>
  <c r="E676" i="10"/>
  <c r="E674" i="10"/>
  <c r="E627" i="10"/>
  <c r="E672" i="10"/>
  <c r="E646" i="10"/>
  <c r="E641" i="10"/>
  <c r="E631" i="10"/>
  <c r="E629" i="10"/>
  <c r="E696" i="10"/>
  <c r="E694" i="10"/>
  <c r="E683" i="10"/>
  <c r="E668" i="10"/>
  <c r="E633" i="10"/>
  <c r="E692" i="10"/>
  <c r="E643" i="10"/>
  <c r="E626" i="10"/>
  <c r="E645" i="10"/>
  <c r="E690" i="10"/>
  <c r="E675" i="10"/>
  <c r="E688" i="10"/>
  <c r="E635" i="10"/>
  <c r="E710" i="1" l="1"/>
  <c r="E678" i="1"/>
  <c r="E642" i="1"/>
  <c r="E716" i="1"/>
  <c r="E635" i="1"/>
  <c r="E707" i="1"/>
  <c r="E684" i="1"/>
  <c r="E631" i="1"/>
  <c r="E630" i="1"/>
  <c r="E704" i="1"/>
  <c r="E638" i="1"/>
  <c r="E689" i="1"/>
  <c r="E625" i="1"/>
  <c r="E639" i="1"/>
  <c r="E703" i="1"/>
  <c r="E709" i="1"/>
  <c r="E677" i="1"/>
  <c r="E680" i="1"/>
  <c r="E676" i="1"/>
  <c r="E698" i="1"/>
  <c r="E688" i="1"/>
  <c r="E705" i="1"/>
  <c r="E626" i="1"/>
  <c r="E701" i="1"/>
  <c r="E685" i="1"/>
  <c r="E708" i="1"/>
  <c r="E628" i="1"/>
  <c r="E696" i="1"/>
  <c r="E627" i="1"/>
  <c r="E640" i="1"/>
  <c r="E646" i="1"/>
  <c r="E697" i="1"/>
  <c r="E700" i="1"/>
  <c r="E674" i="1"/>
  <c r="E634" i="1"/>
  <c r="E690" i="1"/>
  <c r="E670" i="1"/>
  <c r="E636" i="1"/>
  <c r="E629" i="1"/>
  <c r="E679" i="1"/>
  <c r="E693" i="1"/>
  <c r="E702" i="1"/>
  <c r="E669" i="1"/>
  <c r="E683" i="1"/>
  <c r="E647" i="1"/>
  <c r="E641" i="1"/>
  <c r="E645" i="1"/>
  <c r="E643" i="1"/>
  <c r="E637" i="1"/>
  <c r="E682" i="1"/>
  <c r="E694" i="1"/>
  <c r="E673" i="1"/>
  <c r="E686" i="1"/>
  <c r="E681" i="1"/>
  <c r="E711" i="1"/>
  <c r="E624" i="1"/>
  <c r="F624" i="1" s="1"/>
  <c r="E712" i="1"/>
  <c r="E706" i="1"/>
  <c r="E699" i="1"/>
  <c r="E672" i="1"/>
  <c r="E644" i="1"/>
  <c r="E692" i="1"/>
  <c r="E695" i="1"/>
  <c r="E633" i="1"/>
  <c r="E632" i="1"/>
  <c r="E687" i="1"/>
  <c r="E675" i="1"/>
  <c r="E671" i="1"/>
  <c r="E713" i="1"/>
  <c r="E668" i="1"/>
  <c r="E691" i="1"/>
  <c r="E715" i="10"/>
  <c r="F624" i="10"/>
  <c r="F697" i="1" l="1"/>
  <c r="F702" i="1"/>
  <c r="F705" i="1"/>
  <c r="F680" i="1"/>
  <c r="F698" i="1"/>
  <c r="F643" i="1"/>
  <c r="F647" i="1"/>
  <c r="F668" i="1"/>
  <c r="F669" i="1"/>
  <c r="F685" i="1"/>
  <c r="F703" i="1"/>
  <c r="F628" i="1"/>
  <c r="F673" i="1"/>
  <c r="F699" i="1"/>
  <c r="F681" i="1"/>
  <c r="F716" i="1"/>
  <c r="F635" i="1"/>
  <c r="F684" i="1"/>
  <c r="F696" i="1"/>
  <c r="F640" i="1"/>
  <c r="F646" i="1"/>
  <c r="F700" i="1"/>
  <c r="F644" i="1"/>
  <c r="F712" i="1"/>
  <c r="F630" i="1"/>
  <c r="F692" i="1"/>
  <c r="F677" i="1"/>
  <c r="F631" i="1"/>
  <c r="F701" i="1"/>
  <c r="F690" i="1"/>
  <c r="F688" i="1"/>
  <c r="F634" i="1"/>
  <c r="F713" i="1"/>
  <c r="F686" i="1"/>
  <c r="F675" i="1"/>
  <c r="F708" i="1"/>
  <c r="F679" i="1"/>
  <c r="F682" i="1"/>
  <c r="F706" i="1"/>
  <c r="F674" i="1"/>
  <c r="F633" i="1"/>
  <c r="F672" i="1"/>
  <c r="F637" i="1"/>
  <c r="F710" i="1"/>
  <c r="F641" i="1"/>
  <c r="F678" i="1"/>
  <c r="F707" i="1"/>
  <c r="F694" i="1"/>
  <c r="F704" i="1"/>
  <c r="F645" i="1"/>
  <c r="F632" i="1"/>
  <c r="F683" i="1"/>
  <c r="F629" i="1"/>
  <c r="F642" i="1"/>
  <c r="F626" i="1"/>
  <c r="F636" i="1"/>
  <c r="F625" i="1"/>
  <c r="G625" i="1" s="1"/>
  <c r="F691" i="1"/>
  <c r="F627" i="1"/>
  <c r="F709" i="1"/>
  <c r="F671" i="1"/>
  <c r="F687" i="1"/>
  <c r="F638" i="1"/>
  <c r="F689" i="1"/>
  <c r="F670" i="1"/>
  <c r="F711" i="1"/>
  <c r="F676" i="1"/>
  <c r="F639" i="1"/>
  <c r="F695" i="1"/>
  <c r="F693" i="1"/>
  <c r="E715" i="1"/>
  <c r="F706" i="10"/>
  <c r="F698" i="10"/>
  <c r="F690" i="10"/>
  <c r="F682" i="10"/>
  <c r="F674" i="10"/>
  <c r="F708" i="10"/>
  <c r="F700" i="10"/>
  <c r="F692" i="10"/>
  <c r="F684" i="10"/>
  <c r="F676" i="10"/>
  <c r="F668" i="10"/>
  <c r="F710" i="10"/>
  <c r="F702" i="10"/>
  <c r="F694" i="10"/>
  <c r="F686" i="10"/>
  <c r="F678" i="10"/>
  <c r="F670" i="10"/>
  <c r="F647" i="10"/>
  <c r="F646" i="10"/>
  <c r="F645" i="10"/>
  <c r="F713" i="10"/>
  <c r="F699" i="10"/>
  <c r="F677" i="10"/>
  <c r="F643" i="10"/>
  <c r="F635" i="10"/>
  <c r="F628" i="10"/>
  <c r="F716" i="10"/>
  <c r="F693" i="10"/>
  <c r="F679" i="10"/>
  <c r="F672" i="10"/>
  <c r="F641" i="10"/>
  <c r="F633" i="10"/>
  <c r="F629" i="10"/>
  <c r="F626" i="10"/>
  <c r="F709" i="10"/>
  <c r="F695" i="10"/>
  <c r="F688" i="10"/>
  <c r="F681" i="10"/>
  <c r="F639" i="10"/>
  <c r="F630" i="10"/>
  <c r="F712" i="10"/>
  <c r="F697" i="10"/>
  <c r="F671" i="10"/>
  <c r="F642" i="10"/>
  <c r="F637" i="10"/>
  <c r="F632" i="10"/>
  <c r="F680" i="10"/>
  <c r="F669" i="10"/>
  <c r="F634" i="10"/>
  <c r="F625" i="10"/>
  <c r="F704" i="10"/>
  <c r="F691" i="10"/>
  <c r="F689" i="10"/>
  <c r="F644" i="10"/>
  <c r="F627" i="10"/>
  <c r="F687" i="10"/>
  <c r="F636" i="10"/>
  <c r="F631" i="10"/>
  <c r="F711" i="10"/>
  <c r="F696" i="10"/>
  <c r="F685" i="10"/>
  <c r="F683" i="10"/>
  <c r="F707" i="10"/>
  <c r="F638" i="10"/>
  <c r="F705" i="10"/>
  <c r="F703" i="10"/>
  <c r="F675" i="10"/>
  <c r="F640" i="10"/>
  <c r="F673" i="10"/>
  <c r="F701" i="10"/>
  <c r="G647" i="1" l="1"/>
  <c r="G668" i="1"/>
  <c r="G684" i="1"/>
  <c r="G675" i="1"/>
  <c r="G637" i="1"/>
  <c r="G704" i="1"/>
  <c r="G678" i="1"/>
  <c r="G635" i="1"/>
  <c r="G685" i="1"/>
  <c r="G713" i="1"/>
  <c r="G716" i="1"/>
  <c r="G643" i="1"/>
  <c r="G633" i="1"/>
  <c r="G641" i="1"/>
  <c r="G697" i="1"/>
  <c r="G708" i="1"/>
  <c r="G699" i="1"/>
  <c r="G688" i="1"/>
  <c r="G644" i="1"/>
  <c r="G711" i="1"/>
  <c r="G638" i="1"/>
  <c r="G690" i="1"/>
  <c r="G702" i="1"/>
  <c r="G695" i="1"/>
  <c r="G669" i="1"/>
  <c r="G710" i="1"/>
  <c r="G645" i="1"/>
  <c r="G646" i="1"/>
  <c r="G640" i="1"/>
  <c r="G636" i="1"/>
  <c r="G626" i="1"/>
  <c r="G634" i="1"/>
  <c r="G689" i="1"/>
  <c r="G706" i="1"/>
  <c r="G628" i="1"/>
  <c r="G707" i="1"/>
  <c r="G674" i="1"/>
  <c r="G676" i="1"/>
  <c r="G696" i="1"/>
  <c r="G709" i="1"/>
  <c r="G632" i="1"/>
  <c r="G639" i="1"/>
  <c r="G705" i="1"/>
  <c r="G687" i="1"/>
  <c r="G686" i="1"/>
  <c r="G700" i="1"/>
  <c r="G671" i="1"/>
  <c r="G682" i="1"/>
  <c r="G629" i="1"/>
  <c r="G694" i="1"/>
  <c r="G681" i="1"/>
  <c r="G672" i="1"/>
  <c r="G642" i="1"/>
  <c r="G630" i="1"/>
  <c r="G673" i="1"/>
  <c r="G677" i="1"/>
  <c r="G712" i="1"/>
  <c r="G691" i="1"/>
  <c r="G683" i="1"/>
  <c r="G679" i="1"/>
  <c r="G701" i="1"/>
  <c r="G680" i="1"/>
  <c r="G698" i="1"/>
  <c r="G703" i="1"/>
  <c r="G627" i="1"/>
  <c r="G693" i="1"/>
  <c r="G692" i="1"/>
  <c r="G670" i="1"/>
  <c r="G631" i="1"/>
  <c r="F715" i="1"/>
  <c r="F715" i="10"/>
  <c r="G625" i="10"/>
  <c r="H628" i="1" l="1"/>
  <c r="G715" i="1"/>
  <c r="G711" i="10"/>
  <c r="G703" i="10"/>
  <c r="G695" i="10"/>
  <c r="G687" i="10"/>
  <c r="G679" i="10"/>
  <c r="G671" i="10"/>
  <c r="G713" i="10"/>
  <c r="G705" i="10"/>
  <c r="G697" i="10"/>
  <c r="G689" i="10"/>
  <c r="G681" i="10"/>
  <c r="G673" i="10"/>
  <c r="G716" i="10"/>
  <c r="G707" i="10"/>
  <c r="G699" i="10"/>
  <c r="G691" i="10"/>
  <c r="G683" i="10"/>
  <c r="G675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706" i="10"/>
  <c r="G692" i="10"/>
  <c r="G685" i="10"/>
  <c r="G678" i="10"/>
  <c r="G646" i="10"/>
  <c r="G708" i="10"/>
  <c r="G701" i="10"/>
  <c r="G694" i="10"/>
  <c r="G680" i="10"/>
  <c r="G710" i="10"/>
  <c r="G696" i="10"/>
  <c r="G674" i="10"/>
  <c r="G631" i="10"/>
  <c r="G627" i="10"/>
  <c r="G684" i="10"/>
  <c r="G682" i="10"/>
  <c r="G669" i="10"/>
  <c r="G647" i="10"/>
  <c r="G704" i="10"/>
  <c r="G693" i="10"/>
  <c r="G702" i="10"/>
  <c r="G676" i="10"/>
  <c r="G700" i="10"/>
  <c r="G672" i="10"/>
  <c r="G629" i="10"/>
  <c r="G709" i="10"/>
  <c r="G698" i="10"/>
  <c r="G670" i="10"/>
  <c r="G668" i="10"/>
  <c r="G626" i="10"/>
  <c r="G690" i="10"/>
  <c r="G688" i="10"/>
  <c r="G677" i="10"/>
  <c r="G645" i="10"/>
  <c r="G630" i="10"/>
  <c r="G712" i="10"/>
  <c r="G628" i="10"/>
  <c r="G686" i="10"/>
  <c r="H672" i="1" l="1"/>
  <c r="H639" i="1"/>
  <c r="H697" i="1"/>
  <c r="H688" i="1"/>
  <c r="H694" i="1"/>
  <c r="H702" i="1"/>
  <c r="H687" i="1"/>
  <c r="H711" i="1"/>
  <c r="H681" i="1"/>
  <c r="H712" i="1"/>
  <c r="H701" i="1"/>
  <c r="H693" i="1"/>
  <c r="H707" i="1"/>
  <c r="H629" i="1"/>
  <c r="H695" i="1"/>
  <c r="H704" i="1"/>
  <c r="H644" i="1"/>
  <c r="H635" i="1"/>
  <c r="H709" i="1"/>
  <c r="H673" i="1"/>
  <c r="H645" i="1"/>
  <c r="H643" i="1"/>
  <c r="H678" i="1"/>
  <c r="H700" i="1"/>
  <c r="H677" i="1"/>
  <c r="H699" i="1"/>
  <c r="H670" i="1"/>
  <c r="H698" i="1"/>
  <c r="H647" i="1"/>
  <c r="H682" i="1"/>
  <c r="H689" i="1"/>
  <c r="H706" i="1"/>
  <c r="H684" i="1"/>
  <c r="H690" i="1"/>
  <c r="H632" i="1"/>
  <c r="H631" i="1"/>
  <c r="H713" i="1"/>
  <c r="H642" i="1"/>
  <c r="H683" i="1"/>
  <c r="H705" i="1"/>
  <c r="H686" i="1"/>
  <c r="H680" i="1"/>
  <c r="H637" i="1"/>
  <c r="H676" i="1"/>
  <c r="H716" i="1"/>
  <c r="H668" i="1"/>
  <c r="H640" i="1"/>
  <c r="H669" i="1"/>
  <c r="H646" i="1"/>
  <c r="H630" i="1"/>
  <c r="H636" i="1"/>
  <c r="H692" i="1"/>
  <c r="H685" i="1"/>
  <c r="H634" i="1"/>
  <c r="H703" i="1"/>
  <c r="H633" i="1"/>
  <c r="H675" i="1"/>
  <c r="H710" i="1"/>
  <c r="H641" i="1"/>
  <c r="H671" i="1"/>
  <c r="H708" i="1"/>
  <c r="H638" i="1"/>
  <c r="H679" i="1"/>
  <c r="H674" i="1"/>
  <c r="H691" i="1"/>
  <c r="H696" i="1"/>
  <c r="G715" i="10"/>
  <c r="H628" i="10"/>
  <c r="H715" i="1" l="1"/>
  <c r="I629" i="1"/>
  <c r="H708" i="10"/>
  <c r="H700" i="10"/>
  <c r="H692" i="10"/>
  <c r="H684" i="10"/>
  <c r="H676" i="10"/>
  <c r="H668" i="10"/>
  <c r="H710" i="10"/>
  <c r="H702" i="10"/>
  <c r="H694" i="10"/>
  <c r="H686" i="10"/>
  <c r="H678" i="10"/>
  <c r="H670" i="10"/>
  <c r="H647" i="10"/>
  <c r="H646" i="10"/>
  <c r="H645" i="10"/>
  <c r="H712" i="10"/>
  <c r="H704" i="10"/>
  <c r="H696" i="10"/>
  <c r="H688" i="10"/>
  <c r="H680" i="10"/>
  <c r="H672" i="10"/>
  <c r="H707" i="10"/>
  <c r="H693" i="10"/>
  <c r="H671" i="10"/>
  <c r="H638" i="10"/>
  <c r="H629" i="10"/>
  <c r="H709" i="10"/>
  <c r="H687" i="10"/>
  <c r="H673" i="10"/>
  <c r="H644" i="10"/>
  <c r="H636" i="10"/>
  <c r="H630" i="10"/>
  <c r="H703" i="10"/>
  <c r="H689" i="10"/>
  <c r="H682" i="10"/>
  <c r="H675" i="10"/>
  <c r="H642" i="10"/>
  <c r="H634" i="10"/>
  <c r="H695" i="10"/>
  <c r="H706" i="10"/>
  <c r="H691" i="10"/>
  <c r="H639" i="10"/>
  <c r="H716" i="10"/>
  <c r="H674" i="10"/>
  <c r="H631" i="10"/>
  <c r="H713" i="10"/>
  <c r="H711" i="10"/>
  <c r="H698" i="10"/>
  <c r="H685" i="10"/>
  <c r="H683" i="10"/>
  <c r="H641" i="10"/>
  <c r="H681" i="10"/>
  <c r="H633" i="10"/>
  <c r="H705" i="10"/>
  <c r="H690" i="10"/>
  <c r="H679" i="10"/>
  <c r="H677" i="10"/>
  <c r="H643" i="10"/>
  <c r="H701" i="10"/>
  <c r="H640" i="10"/>
  <c r="H635" i="10"/>
  <c r="H699" i="10"/>
  <c r="H669" i="10"/>
  <c r="H697" i="10"/>
  <c r="H637" i="10"/>
  <c r="H632" i="10"/>
  <c r="I635" i="1" l="1"/>
  <c r="I668" i="1"/>
  <c r="I696" i="1"/>
  <c r="I703" i="1"/>
  <c r="I644" i="1"/>
  <c r="I682" i="1"/>
  <c r="I680" i="1"/>
  <c r="I687" i="1"/>
  <c r="I645" i="1"/>
  <c r="I637" i="1"/>
  <c r="I670" i="1"/>
  <c r="I692" i="1"/>
  <c r="I642" i="1"/>
  <c r="I647" i="1"/>
  <c r="I681" i="1"/>
  <c r="I676" i="1"/>
  <c r="I684" i="1"/>
  <c r="I672" i="1"/>
  <c r="I711" i="1"/>
  <c r="I640" i="1"/>
  <c r="I693" i="1"/>
  <c r="I709" i="1"/>
  <c r="I634" i="1"/>
  <c r="I630" i="1"/>
  <c r="I636" i="1"/>
  <c r="I669" i="1"/>
  <c r="I716" i="1"/>
  <c r="I705" i="1"/>
  <c r="I677" i="1"/>
  <c r="I674" i="1"/>
  <c r="I683" i="1"/>
  <c r="I689" i="1"/>
  <c r="I697" i="1"/>
  <c r="I641" i="1"/>
  <c r="I704" i="1"/>
  <c r="I699" i="1"/>
  <c r="I688" i="1"/>
  <c r="I698" i="1"/>
  <c r="I694" i="1"/>
  <c r="I631" i="1"/>
  <c r="I678" i="1"/>
  <c r="I673" i="1"/>
  <c r="I686" i="1"/>
  <c r="I643" i="1"/>
  <c r="I638" i="1"/>
  <c r="I690" i="1"/>
  <c r="I679" i="1"/>
  <c r="I646" i="1"/>
  <c r="I675" i="1"/>
  <c r="I695" i="1"/>
  <c r="I713" i="1"/>
  <c r="I701" i="1"/>
  <c r="I706" i="1"/>
  <c r="I708" i="1"/>
  <c r="I632" i="1"/>
  <c r="I691" i="1"/>
  <c r="I639" i="1"/>
  <c r="I702" i="1"/>
  <c r="I633" i="1"/>
  <c r="I685" i="1"/>
  <c r="I710" i="1"/>
  <c r="I712" i="1"/>
  <c r="I707" i="1"/>
  <c r="I700" i="1"/>
  <c r="I671" i="1"/>
  <c r="H715" i="10"/>
  <c r="I629" i="10"/>
  <c r="I715" i="1" l="1"/>
  <c r="J630" i="1"/>
  <c r="I713" i="10"/>
  <c r="I705" i="10"/>
  <c r="I697" i="10"/>
  <c r="I689" i="10"/>
  <c r="I681" i="10"/>
  <c r="I673" i="10"/>
  <c r="I716" i="10"/>
  <c r="I707" i="10"/>
  <c r="I699" i="10"/>
  <c r="I691" i="10"/>
  <c r="I683" i="10"/>
  <c r="I67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709" i="10"/>
  <c r="I701" i="10"/>
  <c r="I693" i="10"/>
  <c r="I685" i="10"/>
  <c r="I677" i="10"/>
  <c r="I669" i="10"/>
  <c r="I700" i="10"/>
  <c r="I686" i="10"/>
  <c r="I679" i="10"/>
  <c r="I672" i="10"/>
  <c r="I702" i="10"/>
  <c r="I695" i="10"/>
  <c r="I688" i="10"/>
  <c r="I674" i="10"/>
  <c r="I647" i="10"/>
  <c r="I711" i="10"/>
  <c r="I704" i="10"/>
  <c r="I690" i="10"/>
  <c r="I668" i="10"/>
  <c r="I645" i="10"/>
  <c r="I708" i="10"/>
  <c r="I706" i="10"/>
  <c r="I680" i="10"/>
  <c r="I678" i="10"/>
  <c r="I676" i="10"/>
  <c r="I698" i="10"/>
  <c r="I687" i="10"/>
  <c r="I696" i="10"/>
  <c r="I670" i="10"/>
  <c r="I646" i="10"/>
  <c r="I694" i="10"/>
  <c r="I703" i="10"/>
  <c r="I692" i="10"/>
  <c r="I712" i="10"/>
  <c r="I630" i="10"/>
  <c r="I684" i="10"/>
  <c r="I682" i="10"/>
  <c r="I710" i="10"/>
  <c r="I671" i="10"/>
  <c r="J693" i="1" l="1"/>
  <c r="J685" i="1"/>
  <c r="J669" i="1"/>
  <c r="J646" i="1"/>
  <c r="J698" i="1"/>
  <c r="J682" i="1"/>
  <c r="J644" i="1"/>
  <c r="J704" i="1"/>
  <c r="J716" i="1"/>
  <c r="J697" i="1"/>
  <c r="J642" i="1"/>
  <c r="J688" i="1"/>
  <c r="J640" i="1"/>
  <c r="J671" i="1"/>
  <c r="J680" i="1"/>
  <c r="J689" i="1"/>
  <c r="J707" i="1"/>
  <c r="J675" i="1"/>
  <c r="J694" i="1"/>
  <c r="J670" i="1"/>
  <c r="J699" i="1"/>
  <c r="J700" i="1"/>
  <c r="J639" i="1"/>
  <c r="J643" i="1"/>
  <c r="J681" i="1"/>
  <c r="J686" i="1"/>
  <c r="J679" i="1"/>
  <c r="J711" i="1"/>
  <c r="J702" i="1"/>
  <c r="J712" i="1"/>
  <c r="J635" i="1"/>
  <c r="J647" i="1"/>
  <c r="J634" i="1"/>
  <c r="J638" i="1"/>
  <c r="J632" i="1"/>
  <c r="J668" i="1"/>
  <c r="J706" i="1"/>
  <c r="J674" i="1"/>
  <c r="J636" i="1"/>
  <c r="J709" i="1"/>
  <c r="J633" i="1"/>
  <c r="J710" i="1"/>
  <c r="J645" i="1"/>
  <c r="J637" i="1"/>
  <c r="J703" i="1"/>
  <c r="J705" i="1"/>
  <c r="J690" i="1"/>
  <c r="J684" i="1"/>
  <c r="J701" i="1"/>
  <c r="J676" i="1"/>
  <c r="J641" i="1"/>
  <c r="J692" i="1"/>
  <c r="J695" i="1"/>
  <c r="J677" i="1"/>
  <c r="J708" i="1"/>
  <c r="J696" i="1"/>
  <c r="J683" i="1"/>
  <c r="J713" i="1"/>
  <c r="J673" i="1"/>
  <c r="J678" i="1"/>
  <c r="J691" i="1"/>
  <c r="J672" i="1"/>
  <c r="J631" i="1"/>
  <c r="J687" i="1"/>
  <c r="I715" i="10"/>
  <c r="J630" i="10"/>
  <c r="L647" i="1" l="1"/>
  <c r="L710" i="1" s="1"/>
  <c r="K644" i="1"/>
  <c r="J715" i="1"/>
  <c r="J710" i="10"/>
  <c r="J702" i="10"/>
  <c r="J694" i="10"/>
  <c r="J686" i="10"/>
  <c r="J678" i="10"/>
  <c r="J670" i="10"/>
  <c r="J647" i="10"/>
  <c r="J646" i="10"/>
  <c r="J645" i="10"/>
  <c r="J712" i="10"/>
  <c r="J704" i="10"/>
  <c r="J696" i="10"/>
  <c r="J688" i="10"/>
  <c r="J680" i="10"/>
  <c r="J672" i="10"/>
  <c r="J706" i="10"/>
  <c r="J698" i="10"/>
  <c r="J690" i="10"/>
  <c r="J682" i="10"/>
  <c r="J674" i="10"/>
  <c r="J716" i="10"/>
  <c r="J708" i="10"/>
  <c r="J701" i="10"/>
  <c r="J687" i="10"/>
  <c r="J641" i="10"/>
  <c r="J633" i="10"/>
  <c r="J703" i="10"/>
  <c r="J681" i="10"/>
  <c r="J639" i="10"/>
  <c r="J631" i="10"/>
  <c r="J697" i="10"/>
  <c r="J683" i="10"/>
  <c r="J676" i="10"/>
  <c r="J669" i="10"/>
  <c r="J637" i="10"/>
  <c r="J693" i="10"/>
  <c r="J691" i="10"/>
  <c r="J634" i="10"/>
  <c r="J689" i="10"/>
  <c r="J644" i="10"/>
  <c r="J713" i="10"/>
  <c r="J711" i="10"/>
  <c r="J700" i="10"/>
  <c r="J685" i="10"/>
  <c r="J636" i="10"/>
  <c r="J709" i="10"/>
  <c r="J668" i="10"/>
  <c r="J707" i="10"/>
  <c r="J705" i="10"/>
  <c r="J692" i="10"/>
  <c r="J679" i="10"/>
  <c r="J677" i="10"/>
  <c r="J643" i="10"/>
  <c r="J638" i="10"/>
  <c r="J675" i="10"/>
  <c r="J640" i="10"/>
  <c r="J635" i="10"/>
  <c r="J699" i="10"/>
  <c r="J684" i="10"/>
  <c r="J673" i="10"/>
  <c r="J671" i="10"/>
  <c r="J632" i="10"/>
  <c r="J695" i="10"/>
  <c r="J642" i="10"/>
  <c r="L704" i="1" l="1"/>
  <c r="L671" i="1"/>
  <c r="L685" i="1"/>
  <c r="L711" i="1"/>
  <c r="L670" i="1"/>
  <c r="L682" i="1"/>
  <c r="L687" i="1"/>
  <c r="L672" i="1"/>
  <c r="L702" i="1"/>
  <c r="L669" i="1"/>
  <c r="L684" i="1"/>
  <c r="L690" i="1"/>
  <c r="L696" i="1"/>
  <c r="L676" i="1"/>
  <c r="L679" i="1"/>
  <c r="L693" i="1"/>
  <c r="L668" i="1"/>
  <c r="L698" i="1"/>
  <c r="L706" i="1"/>
  <c r="L709" i="1"/>
  <c r="L705" i="1"/>
  <c r="L678" i="1"/>
  <c r="L675" i="1"/>
  <c r="L703" i="1"/>
  <c r="L707" i="1"/>
  <c r="L712" i="1"/>
  <c r="L708" i="1"/>
  <c r="L681" i="1"/>
  <c r="L701" i="1"/>
  <c r="L692" i="1"/>
  <c r="L674" i="1"/>
  <c r="L673" i="1"/>
  <c r="L695" i="1"/>
  <c r="L713" i="1"/>
  <c r="L680" i="1"/>
  <c r="L700" i="1"/>
  <c r="L694" i="1"/>
  <c r="L699" i="1"/>
  <c r="L677" i="1"/>
  <c r="L697" i="1"/>
  <c r="L686" i="1"/>
  <c r="L689" i="1"/>
  <c r="L688" i="1"/>
  <c r="L716" i="1"/>
  <c r="L683" i="1"/>
  <c r="L691" i="1"/>
  <c r="K716" i="1"/>
  <c r="K693" i="1"/>
  <c r="M693" i="1" s="1"/>
  <c r="K668" i="1"/>
  <c r="M668" i="1" s="1"/>
  <c r="K680" i="1"/>
  <c r="K705" i="1"/>
  <c r="K690" i="1"/>
  <c r="M690" i="1" s="1"/>
  <c r="K710" i="1"/>
  <c r="M710" i="1" s="1"/>
  <c r="K707" i="1"/>
  <c r="K697" i="1"/>
  <c r="K674" i="1"/>
  <c r="K683" i="1"/>
  <c r="K678" i="1"/>
  <c r="M678" i="1" s="1"/>
  <c r="K695" i="1"/>
  <c r="K687" i="1"/>
  <c r="K685" i="1"/>
  <c r="K676" i="1"/>
  <c r="M676" i="1" s="1"/>
  <c r="K701" i="1"/>
  <c r="K689" i="1"/>
  <c r="K706" i="1"/>
  <c r="K696" i="1"/>
  <c r="K673" i="1"/>
  <c r="K677" i="1"/>
  <c r="K709" i="1"/>
  <c r="K698" i="1"/>
  <c r="K671" i="1"/>
  <c r="K670" i="1"/>
  <c r="K672" i="1"/>
  <c r="K679" i="1"/>
  <c r="K711" i="1"/>
  <c r="K703" i="1"/>
  <c r="K700" i="1"/>
  <c r="K713" i="1"/>
  <c r="K699" i="1"/>
  <c r="K708" i="1"/>
  <c r="K694" i="1"/>
  <c r="M694" i="1" s="1"/>
  <c r="K681" i="1"/>
  <c r="K686" i="1"/>
  <c r="K712" i="1"/>
  <c r="K692" i="1"/>
  <c r="K702" i="1"/>
  <c r="K688" i="1"/>
  <c r="M688" i="1" s="1"/>
  <c r="K704" i="1"/>
  <c r="K675" i="1"/>
  <c r="K682" i="1"/>
  <c r="M682" i="1" s="1"/>
  <c r="K684" i="1"/>
  <c r="M684" i="1" s="1"/>
  <c r="K691" i="1"/>
  <c r="K669" i="1"/>
  <c r="K644" i="10"/>
  <c r="L647" i="10"/>
  <c r="K716" i="10"/>
  <c r="K707" i="10"/>
  <c r="K699" i="10"/>
  <c r="K691" i="10"/>
  <c r="K683" i="10"/>
  <c r="K675" i="10"/>
  <c r="K709" i="10"/>
  <c r="K701" i="10"/>
  <c r="K693" i="10"/>
  <c r="K685" i="10"/>
  <c r="K677" i="10"/>
  <c r="K669" i="10"/>
  <c r="K711" i="10"/>
  <c r="K703" i="10"/>
  <c r="K695" i="10"/>
  <c r="K687" i="10"/>
  <c r="K679" i="10"/>
  <c r="K671" i="10"/>
  <c r="K694" i="10"/>
  <c r="K680" i="10"/>
  <c r="K673" i="10"/>
  <c r="K710" i="10"/>
  <c r="K696" i="10"/>
  <c r="K689" i="10"/>
  <c r="K682" i="10"/>
  <c r="K668" i="10"/>
  <c r="K712" i="10"/>
  <c r="K705" i="10"/>
  <c r="K698" i="10"/>
  <c r="K684" i="10"/>
  <c r="K704" i="10"/>
  <c r="K678" i="10"/>
  <c r="K676" i="10"/>
  <c r="K713" i="10"/>
  <c r="K702" i="10"/>
  <c r="K700" i="10"/>
  <c r="K674" i="10"/>
  <c r="K672" i="10"/>
  <c r="K670" i="10"/>
  <c r="K692" i="10"/>
  <c r="K681" i="10"/>
  <c r="K690" i="10"/>
  <c r="K688" i="10"/>
  <c r="K697" i="10"/>
  <c r="K686" i="10"/>
  <c r="K708" i="10"/>
  <c r="K706" i="10"/>
  <c r="J715" i="10"/>
  <c r="M698" i="1" l="1"/>
  <c r="M713" i="1"/>
  <c r="M703" i="1"/>
  <c r="M683" i="1"/>
  <c r="M702" i="1"/>
  <c r="I151" i="9" s="1"/>
  <c r="M696" i="1"/>
  <c r="C151" i="9" s="1"/>
  <c r="M704" i="1"/>
  <c r="M670" i="1"/>
  <c r="E23" i="9" s="1"/>
  <c r="M671" i="1"/>
  <c r="M686" i="1"/>
  <c r="G87" i="9" s="1"/>
  <c r="M701" i="1"/>
  <c r="M695" i="1"/>
  <c r="M705" i="1"/>
  <c r="E183" i="9" s="1"/>
  <c r="M711" i="1"/>
  <c r="M673" i="1"/>
  <c r="M697" i="1"/>
  <c r="D151" i="9" s="1"/>
  <c r="M687" i="1"/>
  <c r="M681" i="1"/>
  <c r="I55" i="9" s="1"/>
  <c r="M691" i="1"/>
  <c r="M689" i="1"/>
  <c r="M700" i="1"/>
  <c r="G151" i="9" s="1"/>
  <c r="M672" i="1"/>
  <c r="G23" i="9" s="1"/>
  <c r="M709" i="1"/>
  <c r="I183" i="9" s="1"/>
  <c r="M679" i="1"/>
  <c r="G55" i="9" s="1"/>
  <c r="M669" i="1"/>
  <c r="M675" i="1"/>
  <c r="M706" i="1"/>
  <c r="F183" i="9" s="1"/>
  <c r="M685" i="1"/>
  <c r="F87" i="9" s="1"/>
  <c r="M692" i="1"/>
  <c r="F119" i="9" s="1"/>
  <c r="M712" i="1"/>
  <c r="E215" i="9" s="1"/>
  <c r="M699" i="1"/>
  <c r="F151" i="9" s="1"/>
  <c r="M677" i="1"/>
  <c r="M674" i="1"/>
  <c r="M708" i="1"/>
  <c r="L715" i="1"/>
  <c r="M707" i="1"/>
  <c r="M680" i="1"/>
  <c r="C87" i="9"/>
  <c r="D87" i="9"/>
  <c r="C183" i="9"/>
  <c r="D183" i="9"/>
  <c r="E87" i="9"/>
  <c r="I87" i="9"/>
  <c r="F55" i="9"/>
  <c r="E151" i="9"/>
  <c r="K715" i="1"/>
  <c r="F23" i="9"/>
  <c r="C215" i="9"/>
  <c r="F215" i="9"/>
  <c r="G119" i="9"/>
  <c r="D55" i="9"/>
  <c r="D119" i="9"/>
  <c r="H119" i="9"/>
  <c r="C23" i="9"/>
  <c r="K715" i="10"/>
  <c r="L712" i="10"/>
  <c r="M712" i="10" s="1"/>
  <c r="L704" i="10"/>
  <c r="M704" i="10" s="1"/>
  <c r="L696" i="10"/>
  <c r="M696" i="10" s="1"/>
  <c r="L688" i="10"/>
  <c r="M688" i="10" s="1"/>
  <c r="L680" i="10"/>
  <c r="M680" i="10" s="1"/>
  <c r="L672" i="10"/>
  <c r="M672" i="10" s="1"/>
  <c r="L706" i="10"/>
  <c r="M706" i="10" s="1"/>
  <c r="L698" i="10"/>
  <c r="M698" i="10" s="1"/>
  <c r="L690" i="10"/>
  <c r="M690" i="10" s="1"/>
  <c r="L682" i="10"/>
  <c r="M682" i="10" s="1"/>
  <c r="L674" i="10"/>
  <c r="M674" i="10" s="1"/>
  <c r="L708" i="10"/>
  <c r="M708" i="10" s="1"/>
  <c r="L700" i="10"/>
  <c r="M700" i="10" s="1"/>
  <c r="L692" i="10"/>
  <c r="M692" i="10" s="1"/>
  <c r="L684" i="10"/>
  <c r="M684" i="10" s="1"/>
  <c r="L676" i="10"/>
  <c r="M676" i="10" s="1"/>
  <c r="L668" i="10"/>
  <c r="L709" i="10"/>
  <c r="M709" i="10" s="1"/>
  <c r="L702" i="10"/>
  <c r="M702" i="10" s="1"/>
  <c r="L695" i="10"/>
  <c r="M695" i="10" s="1"/>
  <c r="L681" i="10"/>
  <c r="M681" i="10" s="1"/>
  <c r="L711" i="10"/>
  <c r="M711" i="10" s="1"/>
  <c r="L697" i="10"/>
  <c r="M697" i="10" s="1"/>
  <c r="L675" i="10"/>
  <c r="M675" i="10" s="1"/>
  <c r="L713" i="10"/>
  <c r="M713" i="10" s="1"/>
  <c r="L691" i="10"/>
  <c r="M691" i="10" s="1"/>
  <c r="L677" i="10"/>
  <c r="M677" i="10" s="1"/>
  <c r="L670" i="10"/>
  <c r="M670" i="10" s="1"/>
  <c r="L689" i="10"/>
  <c r="M689" i="10" s="1"/>
  <c r="L716" i="10"/>
  <c r="L687" i="10"/>
  <c r="M687" i="10" s="1"/>
  <c r="L685" i="10"/>
  <c r="M685" i="10" s="1"/>
  <c r="L683" i="10"/>
  <c r="M683" i="10" s="1"/>
  <c r="L707" i="10"/>
  <c r="M707" i="10" s="1"/>
  <c r="L705" i="10"/>
  <c r="M705" i="10" s="1"/>
  <c r="L694" i="10"/>
  <c r="M694" i="10" s="1"/>
  <c r="L679" i="10"/>
  <c r="M679" i="10" s="1"/>
  <c r="L703" i="10"/>
  <c r="M703" i="10" s="1"/>
  <c r="L701" i="10"/>
  <c r="M701" i="10" s="1"/>
  <c r="L699" i="10"/>
  <c r="M699" i="10" s="1"/>
  <c r="L686" i="10"/>
  <c r="M686" i="10" s="1"/>
  <c r="L673" i="10"/>
  <c r="M673" i="10" s="1"/>
  <c r="L671" i="10"/>
  <c r="M671" i="10" s="1"/>
  <c r="L710" i="10"/>
  <c r="M710" i="10" s="1"/>
  <c r="L669" i="10"/>
  <c r="M669" i="10" s="1"/>
  <c r="L693" i="10"/>
  <c r="M693" i="10" s="1"/>
  <c r="L678" i="10"/>
  <c r="M678" i="10" s="1"/>
  <c r="C119" i="9" l="1"/>
  <c r="I119" i="9"/>
  <c r="H151" i="9"/>
  <c r="C55" i="9"/>
  <c r="H183" i="9"/>
  <c r="D23" i="9"/>
  <c r="I23" i="9"/>
  <c r="H55" i="9"/>
  <c r="H87" i="9"/>
  <c r="E119" i="9"/>
  <c r="D215" i="9"/>
  <c r="H23" i="9"/>
  <c r="M715" i="1"/>
  <c r="G183" i="9"/>
  <c r="E55" i="9"/>
  <c r="L715" i="10"/>
  <c r="M668" i="10"/>
  <c r="M715" i="10" s="1"/>
</calcChain>
</file>

<file path=xl/sharedStrings.xml><?xml version="1.0" encoding="utf-8"?>
<sst xmlns="http://schemas.openxmlformats.org/spreadsheetml/2006/main" count="4401" uniqueCount="1015">
  <si>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</si>
  <si>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</si>
  <si>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</si>
  <si>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</si>
  <si>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</si>
  <si>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</si>
  <si>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</si>
  <si>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</si>
  <si>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</si>
  <si>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</si>
  <si>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</si>
  <si>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</si>
  <si>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</si>
  <si>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</si>
  <si>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</si>
  <si>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</si>
  <si>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</si>
  <si>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</si>
  <si>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</si>
  <si>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</si>
  <si>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</si>
  <si>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</si>
  <si>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</si>
  <si>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</si>
  <si>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</si>
  <si>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</si>
  <si>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</si>
  <si>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</si>
  <si>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</si>
  <si>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</si>
  <si>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</si>
  <si>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</si>
  <si>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</si>
  <si>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</si>
  <si>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</si>
  <si>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</si>
  <si>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</si>
  <si>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</si>
  <si>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</si>
  <si>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</si>
  <si>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</si>
  <si>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</si>
  <si>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</si>
  <si>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</si>
  <si>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</si>
  <si>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</si>
  <si>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</si>
  <si>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</si>
  <si>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</si>
  <si>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</si>
  <si>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</si>
  <si>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</si>
  <si>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</si>
  <si>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</si>
  <si>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</si>
  <si>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</si>
  <si>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</si>
  <si>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</si>
  <si>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</si>
  <si>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</si>
  <si>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</si>
  <si>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</si>
  <si>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</si>
  <si>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</si>
  <si>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</si>
  <si>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</si>
  <si>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</si>
  <si>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</si>
  <si>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</si>
  <si>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</si>
  <si>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</si>
  <si>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</si>
  <si>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</si>
  <si>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</si>
  <si>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</si>
  <si>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</si>
  <si>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</si>
  <si>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</si>
  <si>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</si>
  <si>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</si>
  <si>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</si>
  <si>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</si>
  <si>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</si>
  <si>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</si>
  <si>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</si>
  <si>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</si>
  <si>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</si>
  <si>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</si>
  <si>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</si>
  <si>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</si>
  <si>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</si>
  <si>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</si>
  <si>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</si>
  <si>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</si>
  <si>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</si>
  <si>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</si>
  <si>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</si>
  <si>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</si>
  <si>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</si>
  <si>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</si>
  <si>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</si>
  <si>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</si>
  <si>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</si>
  <si>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</si>
  <si>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</si>
  <si>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</si>
  <si>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</si>
  <si>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</si>
  <si>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</si>
  <si>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</si>
  <si>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</si>
  <si>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</si>
  <si>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</si>
  <si>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</si>
  <si>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</si>
  <si>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</si>
  <si>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</si>
  <si>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</si>
  <si>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</si>
  <si>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</si>
  <si>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</si>
  <si>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</si>
  <si>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</si>
  <si>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</si>
  <si>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</si>
  <si>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</si>
  <si>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</si>
  <si>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</si>
  <si>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</si>
  <si>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</si>
  <si>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</si>
  <si>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</si>
  <si>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</si>
  <si>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</si>
  <si>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</si>
  <si>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</si>
  <si>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</si>
  <si>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</si>
  <si>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</si>
  <si>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</si>
  <si>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</si>
  <si>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</si>
  <si>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</si>
  <si>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</si>
  <si>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</si>
  <si>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</si>
  <si>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</si>
  <si>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</si>
  <si>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</si>
  <si>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</si>
  <si>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</si>
  <si>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</si>
  <si>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</si>
  <si>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</si>
  <si>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</si>
  <si>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</si>
  <si>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</si>
  <si>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</si>
  <si>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</si>
  <si>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</si>
  <si>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</si>
  <si>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</si>
  <si>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</si>
  <si>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</si>
  <si>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</si>
  <si>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</si>
  <si>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</si>
  <si>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</si>
  <si>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</si>
  <si>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</si>
  <si>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</si>
  <si>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</si>
  <si>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</si>
  <si>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</si>
  <si>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</si>
  <si>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</si>
  <si>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</si>
  <si>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</si>
  <si>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</si>
  <si>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</si>
  <si>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</si>
  <si>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</si>
  <si>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</si>
  <si>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</si>
  <si>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</si>
  <si>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</si>
  <si>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</si>
  <si>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</si>
  <si>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</si>
  <si>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</si>
  <si>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</si>
  <si>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</si>
  <si>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</si>
  <si>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</si>
  <si>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</si>
  <si>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</si>
  <si>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</si>
  <si>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</si>
  <si>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</si>
  <si>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</si>
  <si>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</si>
  <si>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</si>
  <si>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</si>
  <si>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</si>
  <si>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</si>
  <si>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</si>
  <si>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</si>
  <si>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</si>
  <si>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</si>
  <si>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</si>
  <si>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</si>
  <si>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</si>
  <si>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</si>
  <si>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</si>
  <si>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</si>
  <si>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</si>
  <si>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</si>
  <si>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</si>
  <si>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</si>
  <si>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</si>
  <si>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</si>
  <si>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</si>
  <si>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</si>
  <si>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</si>
  <si>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</si>
  <si>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</si>
  <si>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</si>
  <si>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</si>
  <si>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</si>
  <si>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</si>
  <si>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</si>
  <si>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</si>
  <si>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</si>
  <si>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</si>
  <si>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</si>
  <si>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</si>
  <si>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</si>
  <si>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</si>
  <si>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</si>
  <si>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</si>
  <si>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</si>
  <si>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</si>
  <si>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</si>
  <si>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</si>
  <si>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</si>
  <si>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</si>
  <si>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</si>
  <si>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</si>
  <si>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</si>
  <si>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</si>
  <si>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</si>
  <si>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</si>
  <si>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</si>
  <si>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</si>
  <si>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</si>
  <si>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</si>
  <si>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</si>
  <si>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</si>
  <si>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</si>
  <si>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</si>
  <si>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</si>
  <si>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</si>
  <si>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</si>
  <si>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</si>
  <si>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</si>
  <si>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</si>
  <si>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</si>
  <si>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</si>
  <si>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</si>
  <si>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</si>
  <si>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</si>
  <si>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</si>
  <si>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</si>
  <si>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</si>
  <si>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</si>
  <si>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</si>
  <si>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</si>
  <si>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</si>
  <si>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</si>
  <si>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</si>
  <si>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</si>
  <si>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</si>
  <si>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</si>
  <si>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</si>
  <si>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</si>
  <si>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</si>
  <si>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</si>
  <si>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</si>
  <si>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</si>
  <si>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</si>
  <si>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</si>
  <si>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</si>
  <si>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</si>
  <si>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</si>
  <si>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</si>
  <si>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</si>
  <si>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</si>
  <si>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</si>
  <si>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</si>
  <si>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</si>
  <si>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</si>
  <si>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</si>
  <si>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</si>
  <si>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</si>
  <si>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</si>
  <si>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</si>
  <si>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</si>
  <si>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</si>
  <si>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</si>
  <si>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</si>
  <si>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</si>
  <si>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</si>
  <si>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</si>
  <si>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</si>
  <si>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</si>
  <si>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</si>
  <si>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</si>
  <si>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</si>
  <si>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</si>
  <si>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</si>
  <si>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</si>
  <si>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</si>
  <si>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</si>
  <si>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</si>
  <si>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</si>
  <si>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</si>
  <si>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</si>
  <si>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</si>
  <si>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</si>
  <si>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</si>
  <si>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</si>
  <si>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</si>
  <si>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</si>
  <si>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</si>
  <si>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</si>
  <si>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</si>
  <si>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</si>
  <si>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</si>
  <si>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</si>
  <si>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</si>
  <si>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</si>
  <si>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</si>
  <si>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</si>
  <si>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</si>
  <si>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</si>
  <si>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</si>
  <si>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</si>
  <si>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</si>
  <si>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</si>
  <si>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</si>
  <si>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</si>
  <si>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</si>
  <si>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</si>
  <si>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</si>
  <si>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</si>
  <si>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</si>
  <si>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</si>
  <si>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</si>
  <si>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</si>
  <si>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</si>
  <si>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</si>
  <si>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</si>
  <si>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</si>
  <si>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</si>
  <si>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</si>
  <si>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</si>
  <si>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</si>
  <si>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</si>
  <si>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</si>
  <si>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</si>
  <si>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</si>
  <si>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</si>
  <si>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</si>
  <si>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</si>
  <si>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</si>
  <si>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</si>
  <si>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</si>
  <si>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</si>
  <si>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</si>
  <si>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</si>
  <si>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</si>
  <si>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</si>
  <si>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</si>
  <si>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</si>
  <si>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</si>
  <si>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</si>
  <si>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</si>
  <si>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</si>
  <si>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</si>
  <si>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</si>
  <si>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</si>
  <si>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</si>
  <si>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</si>
  <si>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</si>
  <si>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</si>
  <si>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</si>
  <si>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</si>
  <si>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</si>
  <si>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</si>
  <si>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</si>
  <si>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</si>
  <si>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</si>
  <si>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</si>
  <si>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</si>
  <si>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</si>
  <si>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</si>
  <si>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</si>
  <si>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</si>
  <si>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</si>
  <si>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</si>
  <si>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</si>
  <si>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</si>
  <si>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</si>
  <si>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</si>
  <si>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</si>
  <si>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</si>
  <si>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</si>
  <si>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</si>
  <si>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</si>
  <si>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</si>
  <si>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</si>
  <si>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</si>
  <si>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</si>
  <si>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</si>
  <si>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</si>
  <si>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</si>
  <si>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</si>
  <si>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</si>
  <si>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</si>
  <si>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</si>
  <si>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</si>
  <si>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</si>
  <si>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</si>
  <si>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</si>
  <si>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</si>
  <si>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</si>
  <si>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</si>
  <si>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</si>
  <si>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</si>
  <si>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</si>
  <si>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</si>
  <si>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</si>
  <si>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</si>
  <si>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</si>
  <si>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</si>
  <si>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</si>
  <si>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</si>
  <si>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</si>
  <si>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</si>
  <si>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</si>
  <si>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</si>
  <si>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</si>
  <si>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</si>
  <si>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</si>
  <si>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</si>
  <si>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</si>
  <si>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</si>
  <si>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</si>
  <si>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</si>
  <si>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</si>
  <si>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</si>
  <si>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</si>
  <si>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</si>
  <si>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</si>
  <si>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</si>
  <si>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</si>
  <si>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</si>
  <si>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</si>
  <si>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</si>
  <si>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</si>
  <si>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</si>
  <si>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</si>
  <si>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</si>
  <si>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</si>
  <si>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</si>
  <si>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</si>
  <si>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</si>
  <si>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</si>
  <si>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</si>
  <si>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</si>
  <si>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</si>
  <si>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</si>
  <si>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</si>
  <si>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</si>
  <si>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</si>
  <si>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</si>
  <si>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</si>
  <si>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</si>
  <si>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</si>
  <si>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</si>
  <si>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</si>
  <si>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</si>
  <si>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</si>
  <si>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</si>
  <si>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</si>
  <si>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</si>
  <si>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</si>
  <si>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</si>
  <si>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</si>
  <si>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</si>
  <si>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</si>
  <si>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</si>
  <si>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</si>
  <si>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</si>
  <si>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</si>
  <si>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</si>
  <si>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</si>
  <si>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</si>
  <si>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</si>
  <si>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</si>
  <si>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</si>
  <si>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</si>
  <si>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</si>
  <si>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</si>
  <si>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</si>
  <si>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</si>
  <si>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</si>
  <si>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</si>
  <si>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</si>
  <si>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</si>
  <si>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</si>
  <si>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</si>
  <si>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</si>
  <si>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</si>
  <si>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</si>
  <si>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</si>
  <si>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</si>
  <si>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</si>
  <si>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</si>
  <si>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</si>
  <si>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</si>
  <si>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</si>
  <si>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</si>
  <si>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</si>
  <si>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</si>
  <si>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</si>
  <si>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</si>
  <si>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</si>
  <si>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</si>
  <si>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</si>
  <si>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</si>
  <si>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</si>
  <si>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</si>
  <si>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</si>
  <si>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</si>
  <si>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</si>
  <si>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</si>
  <si>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</si>
  <si>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</si>
  <si>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</si>
  <si>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</si>
  <si>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</si>
  <si>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</si>
  <si>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</si>
  <si>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</si>
  <si>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</si>
  <si>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</si>
  <si>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</si>
  <si>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</si>
  <si>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</si>
  <si>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</si>
  <si>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</si>
  <si>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</si>
  <si>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</si>
  <si>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</si>
  <si>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</si>
  <si>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</si>
  <si>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</si>
  <si>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</si>
  <si>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</si>
  <si>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</si>
  <si>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</si>
  <si>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</si>
  <si>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</si>
  <si>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</si>
  <si>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</si>
  <si>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</si>
  <si>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</si>
  <si>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</si>
  <si>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</si>
  <si>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</si>
  <si>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</si>
  <si>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</si>
  <si>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</si>
  <si>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</si>
  <si>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</si>
  <si>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</si>
  <si>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</si>
  <si>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</si>
  <si>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</si>
  <si>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</si>
  <si>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</si>
  <si>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</si>
  <si>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</si>
  <si>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</si>
  <si>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</si>
  <si>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</si>
  <si>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</si>
  <si>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</si>
  <si>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</si>
  <si>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</si>
  <si>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</si>
  <si>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</si>
  <si>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</si>
  <si>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</si>
  <si>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</si>
  <si>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</si>
  <si>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</si>
  <si>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</si>
  <si>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</si>
  <si>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</si>
  <si>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</si>
  <si>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</si>
  <si>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</si>
  <si>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</si>
  <si>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</si>
  <si>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</si>
  <si>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</si>
  <si>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</si>
  <si>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</si>
  <si>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</si>
  <si>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</si>
  <si>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</si>
  <si>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</si>
  <si>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</si>
  <si>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</si>
  <si>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</si>
  <si>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</si>
  <si>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</si>
  <si>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</si>
  <si>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</si>
  <si>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</si>
  <si>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</si>
  <si>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</si>
  <si>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</si>
  <si>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</si>
  <si>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</si>
  <si>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</si>
  <si>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</si>
  <si>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</si>
  <si>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</si>
  <si>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</si>
  <si>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</si>
  <si>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</si>
  <si>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</si>
  <si>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</si>
  <si>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</si>
  <si>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</si>
  <si>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</si>
  <si>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</si>
  <si>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</si>
  <si>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</si>
  <si>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</si>
  <si>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</si>
  <si>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</si>
  <si>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</si>
  <si>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</si>
  <si>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</si>
  <si>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</si>
  <si>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</si>
  <si>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</si>
  <si>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</si>
  <si>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</si>
  <si>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</si>
  <si>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</si>
  <si>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</si>
  <si>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</si>
  <si>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</si>
  <si>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</si>
  <si>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</si>
  <si>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</si>
  <si>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</si>
  <si>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</si>
  <si>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</si>
  <si>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</si>
  <si>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</si>
  <si>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</si>
  <si>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</si>
  <si>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</si>
  <si>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</si>
  <si>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</si>
  <si>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</si>
  <si>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</si>
  <si>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</si>
  <si>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</si>
  <si>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</si>
  <si>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</si>
  <si>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</si>
  <si>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</si>
  <si>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</si>
  <si>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</si>
  <si>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</si>
  <si>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</si>
  <si>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</si>
  <si>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</si>
  <si>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</si>
  <si>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</si>
  <si>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</si>
  <si>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</si>
  <si>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</si>
  <si>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</si>
  <si>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</si>
  <si>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</si>
  <si>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</si>
  <si>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</si>
  <si>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</si>
  <si>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</si>
  <si>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</si>
  <si>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</si>
  <si>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</si>
  <si>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</si>
  <si>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</si>
  <si>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</si>
  <si>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</si>
  <si>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</si>
  <si>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</si>
  <si>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</si>
  <si>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</si>
  <si>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</si>
  <si>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</si>
  <si>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</si>
  <si>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</si>
  <si>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</si>
  <si>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</si>
  <si>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</si>
  <si>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</si>
  <si>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</si>
  <si>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</si>
  <si>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</si>
  <si>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</si>
  <si>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</si>
  <si>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</si>
  <si>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</si>
  <si>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</si>
  <si>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</si>
  <si>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</si>
  <si>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</si>
  <si>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</si>
  <si>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</si>
  <si>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</si>
  <si>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</si>
  <si>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</si>
  <si>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</si>
  <si>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</si>
  <si>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</si>
  <si>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</si>
  <si>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</si>
  <si>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</si>
  <si>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</si>
  <si>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</si>
  <si>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</si>
  <si>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</si>
  <si>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</si>
  <si>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</si>
  <si>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</si>
  <si>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</si>
  <si>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</si>
  <si>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</si>
  <si>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</si>
  <si>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</si>
  <si>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</si>
  <si>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</si>
  <si>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</si>
  <si>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</si>
  <si>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</si>
  <si>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</si>
  <si>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</si>
  <si>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</si>
  <si>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</si>
  <si>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</si>
  <si>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</si>
  <si>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</si>
  <si>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</si>
  <si>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</si>
  <si>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</si>
  <si>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</si>
  <si>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</si>
  <si>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</si>
  <si>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</si>
  <si>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</si>
  <si>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</si>
  <si>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</si>
  <si>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</si>
  <si>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</si>
  <si>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</si>
  <si>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</si>
  <si>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</si>
  <si>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</si>
  <si>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</si>
  <si>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</si>
  <si>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</si>
  <si>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</si>
  <si>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</si>
  <si>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</si>
  <si>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</si>
  <si>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</si>
  <si>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</si>
  <si>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</si>
  <si>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</si>
  <si>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</si>
  <si>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</si>
  <si>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</si>
  <si>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</si>
  <si>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</si>
  <si>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</si>
  <si>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</si>
  <si>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</si>
  <si>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</si>
  <si>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</si>
  <si>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</si>
  <si>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</si>
  <si>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</si>
  <si>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</si>
  <si>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</si>
  <si>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</si>
  <si>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</si>
  <si>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</si>
  <si>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</si>
  <si>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</si>
  <si>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</si>
  <si>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</si>
  <si>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</si>
  <si>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</si>
  <si>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</si>
  <si>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</si>
  <si>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</si>
  <si>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</si>
  <si>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</si>
  <si>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</si>
  <si>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</si>
  <si>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</si>
  <si>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</si>
  <si>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</si>
  <si>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</si>
  <si>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</si>
  <si>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</si>
  <si>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</si>
  <si>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</si>
  <si>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</si>
  <si>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</si>
  <si>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</si>
  <si>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</si>
  <si>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</si>
  <si>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</si>
  <si>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</si>
  <si>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</si>
  <si>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</si>
  <si>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</si>
  <si>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</si>
  <si>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</si>
  <si>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</si>
  <si>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</si>
  <si>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</si>
  <si>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</si>
  <si>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</si>
  <si>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</si>
  <si>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</si>
  <si>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</si>
  <si>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</si>
  <si>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</si>
  <si>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</si>
  <si>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</si>
  <si>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</si>
  <si>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</si>
  <si>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</si>
  <si>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</si>
  <si>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</si>
  <si>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</si>
  <si>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</si>
  <si>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</si>
  <si>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</si>
  <si>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</si>
  <si>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</si>
  <si>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</si>
  <si>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</si>
  <si>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</si>
  <si>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</si>
  <si>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</si>
  <si>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</si>
  <si>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</si>
  <si>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</si>
  <si>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</si>
  <si>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</si>
  <si>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</si>
  <si>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</si>
  <si>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</si>
  <si>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</si>
  <si>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</si>
  <si>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</si>
  <si>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</si>
  <si>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</si>
  <si>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</si>
  <si>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</si>
  <si>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</si>
  <si>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</si>
  <si>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</si>
  <si>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</si>
  <si>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</si>
  <si>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</si>
  <si>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</si>
  <si>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</si>
  <si>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</si>
  <si>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</si>
  <si>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</si>
  <si>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</si>
  <si>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</si>
  <si>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</si>
  <si>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</si>
  <si>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</si>
  <si>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</si>
  <si>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</si>
  <si>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</si>
  <si>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</si>
  <si>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</si>
  <si>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</si>
  <si>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</si>
  <si>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</si>
  <si>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</si>
  <si>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</si>
  <si>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</si>
  <si>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</si>
  <si>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</si>
  <si>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</si>
  <si>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</si>
  <si>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</si>
  <si>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</si>
  <si>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</si>
  <si>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</si>
  <si>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</si>
  <si>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</si>
  <si>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</si>
  <si>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</si>
  <si>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</si>
  <si>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</si>
  <si>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</si>
  <si>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</si>
  <si>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</si>
  <si>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</si>
  <si>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</si>
  <si>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</si>
  <si>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</si>
  <si>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</si>
  <si>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</si>
  <si>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</si>
  <si>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</si>
  <si>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</si>
  <si>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</si>
  <si>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</si>
  <si>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</si>
  <si>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</si>
  <si>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</si>
  <si>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</si>
  <si>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</si>
  <si>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</si>
  <si>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</si>
  <si>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</si>
  <si>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</si>
  <si>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</si>
  <si>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</si>
  <si>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</si>
  <si>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</si>
  <si>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</si>
  <si>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</si>
  <si>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</si>
  <si>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</si>
  <si>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</si>
  <si>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</si>
  <si>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</si>
  <si>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</si>
  <si>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</si>
  <si>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</si>
  <si>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</si>
  <si>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</si>
  <si>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</si>
  <si>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</si>
  <si>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</si>
  <si>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</si>
  <si>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</si>
  <si>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</si>
  <si>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</si>
  <si>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</si>
  <si>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</si>
  <si>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</si>
  <si>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</si>
  <si>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</si>
  <si>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</si>
  <si>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</si>
  <si>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</si>
  <si>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</si>
  <si>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</si>
  <si>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</si>
  <si>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</si>
  <si>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</si>
  <si>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</si>
  <si>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</si>
  <si>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</si>
  <si>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</si>
  <si>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</si>
  <si>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</si>
  <si>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</si>
  <si>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12/31/2018</t>
  </si>
  <si>
    <t>12/31/2019</t>
  </si>
  <si>
    <t>2017</t>
  </si>
  <si>
    <t>042</t>
  </si>
  <si>
    <t>Shriners Hospitals for Children - Spokane</t>
  </si>
  <si>
    <t>911 W 5th Avenue Spokane Washington 99204</t>
  </si>
  <si>
    <t>'2900 Rocky Point Drive</t>
  </si>
  <si>
    <t>Tampa FL 33607</t>
  </si>
  <si>
    <t>Spokane</t>
  </si>
  <si>
    <t>John McCabe</t>
  </si>
  <si>
    <t>Sharon Russell</t>
  </si>
  <si>
    <t>Von Chimienti</t>
  </si>
  <si>
    <t>813-281-8610</t>
  </si>
  <si>
    <t>813-281-7155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</si>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</sst>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6" x14ac:knownFonts="1">
    <font>
      <sz val="12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37" fontId="0" fillId="0" borderId="0"/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37" fontId="15" fillId="0" borderId="0"/>
    <xf numFmtId="9" fontId="2" fillId="0" borderId="0" applyFont="0" applyFill="0" applyBorder="0" applyAlignment="0" applyProtection="0"/>
    <xf numFmtId="37" fontId="15" fillId="0" borderId="0"/>
    <xf numFmtId="37" fontId="15" fillId="0" borderId="0"/>
    <xf numFmtId="37" fontId="15" fillId="0" borderId="0"/>
    <xf numFmtId="43" fontId="1" fillId="0" borderId="0" applyFont="0" applyFill="0" applyBorder="0" applyAlignment="0" applyProtection="0"/>
    <xf numFmtId="37" fontId="15" fillId="0" borderId="0"/>
  </cellStyleXfs>
  <cellXfs count="279">
    <xf numFmtId="37" fontId="0" fillId="0" borderId="0" xfId="0"/>
    <xf numFmtId="37" fontId="4" fillId="0" borderId="0" xfId="0" applyFont="1" applyBorder="1"/>
    <xf numFmtId="37" fontId="4" fillId="0" borderId="0" xfId="0" applyFont="1"/>
    <xf numFmtId="37" fontId="3" fillId="0" borderId="0" xfId="0" applyFont="1" applyFill="1" applyBorder="1"/>
    <xf numFmtId="37" fontId="5" fillId="0" borderId="0" xfId="0" applyNumberFormat="1" applyFont="1" applyFill="1" applyBorder="1" applyAlignment="1" applyProtection="1">
      <alignment horizontal="centerContinuous"/>
    </xf>
    <xf numFmtId="37" fontId="6" fillId="0" borderId="0" xfId="0" applyFont="1" applyBorder="1" applyAlignment="1">
      <alignment horizontal="centerContinuous"/>
    </xf>
    <xf numFmtId="37" fontId="6" fillId="0" borderId="0" xfId="0" applyFont="1" applyAlignment="1">
      <alignment horizontal="centerContinuous"/>
    </xf>
    <xf numFmtId="37" fontId="6" fillId="0" borderId="0" xfId="0" applyFont="1"/>
    <xf numFmtId="37" fontId="6" fillId="0" borderId="0" xfId="0" applyFont="1" applyBorder="1"/>
    <xf numFmtId="37" fontId="5" fillId="0" borderId="0" xfId="0" applyNumberFormat="1" applyFont="1" applyFill="1" applyBorder="1" applyAlignment="1" applyProtection="1">
      <alignment horizontal="center"/>
    </xf>
    <xf numFmtId="37" fontId="6" fillId="0" borderId="0" xfId="0" quotePrefix="1" applyNumberFormat="1" applyFont="1" applyBorder="1" applyAlignment="1" applyProtection="1">
      <alignment horizontal="left"/>
    </xf>
    <xf numFmtId="37" fontId="7" fillId="0" borderId="0" xfId="0" applyFont="1"/>
    <xf numFmtId="37" fontId="6" fillId="0" borderId="0" xfId="0" quotePrefix="1" applyNumberFormat="1" applyFont="1" applyBorder="1" applyAlignment="1" applyProtection="1">
      <alignment horizontal="center"/>
    </xf>
    <xf numFmtId="37" fontId="5" fillId="0" borderId="1" xfId="0" applyNumberFormat="1" applyFont="1" applyFill="1" applyBorder="1" applyProtection="1"/>
    <xf numFmtId="37" fontId="5" fillId="0" borderId="2" xfId="0" applyNumberFormat="1" applyFont="1" applyFill="1" applyBorder="1" applyAlignment="1" applyProtection="1"/>
    <xf numFmtId="37" fontId="5" fillId="0" borderId="2" xfId="0" applyNumberFormat="1" applyFont="1" applyFill="1" applyBorder="1" applyAlignment="1" applyProtection="1">
      <alignment horizontal="center"/>
    </xf>
    <xf numFmtId="37" fontId="5" fillId="0" borderId="3" xfId="0" applyNumberFormat="1" applyFont="1" applyFill="1" applyBorder="1" applyProtection="1"/>
    <xf numFmtId="37" fontId="5" fillId="0" borderId="4" xfId="0" applyNumberFormat="1" applyFont="1" applyFill="1" applyBorder="1" applyAlignment="1" applyProtection="1"/>
    <xf numFmtId="37" fontId="5" fillId="0" borderId="4" xfId="0" applyNumberFormat="1" applyFont="1" applyFill="1" applyBorder="1" applyAlignment="1" applyProtection="1">
      <alignment horizontal="center"/>
    </xf>
    <xf numFmtId="37" fontId="5" fillId="0" borderId="3" xfId="0" applyFont="1" applyFill="1" applyBorder="1"/>
    <xf numFmtId="37" fontId="5" fillId="0" borderId="4" xfId="0" applyFont="1" applyFill="1" applyBorder="1"/>
    <xf numFmtId="37" fontId="5" fillId="0" borderId="2" xfId="0" applyNumberFormat="1" applyFont="1" applyFill="1" applyBorder="1" applyProtection="1"/>
    <xf numFmtId="37" fontId="5" fillId="0" borderId="2" xfId="0" quotePrefix="1" applyNumberFormat="1" applyFont="1" applyFill="1" applyBorder="1" applyAlignment="1" applyProtection="1">
      <alignment horizontal="left"/>
    </xf>
    <xf numFmtId="37" fontId="5" fillId="0" borderId="1" xfId="0" applyNumberFormat="1" applyFont="1" applyFill="1" applyBorder="1" applyAlignment="1" applyProtection="1"/>
    <xf numFmtId="37" fontId="5" fillId="0" borderId="2" xfId="0" applyFont="1" applyFill="1" applyBorder="1"/>
    <xf numFmtId="37" fontId="5" fillId="0" borderId="4" xfId="0" applyFont="1" applyFill="1" applyBorder="1" applyAlignment="1">
      <alignment horizontal="center"/>
    </xf>
    <xf numFmtId="39" fontId="5" fillId="0" borderId="2" xfId="0" applyNumberFormat="1" applyFont="1" applyFill="1" applyBorder="1" applyAlignment="1" applyProtection="1"/>
    <xf numFmtId="37" fontId="6" fillId="0" borderId="2" xfId="0" applyFont="1" applyBorder="1"/>
    <xf numFmtId="37" fontId="6" fillId="0" borderId="4" xfId="0" applyFont="1" applyBorder="1"/>
    <xf numFmtId="37" fontId="5" fillId="0" borderId="0" xfId="0" quotePrefix="1" applyNumberFormat="1" applyFont="1" applyFill="1" applyBorder="1" applyAlignment="1" applyProtection="1">
      <alignment horizontal="left"/>
    </xf>
    <xf numFmtId="37" fontId="5" fillId="0" borderId="0" xfId="0" applyFont="1" applyFill="1" applyBorder="1"/>
    <xf numFmtId="37" fontId="5" fillId="0" borderId="0" xfId="0" quotePrefix="1" applyNumberFormat="1" applyFont="1" applyFill="1" applyBorder="1" applyAlignment="1" applyProtection="1">
      <alignment horizontal="center"/>
    </xf>
    <xf numFmtId="37" fontId="5" fillId="0" borderId="5" xfId="0" applyFont="1" applyFill="1" applyBorder="1"/>
    <xf numFmtId="37" fontId="5" fillId="0" borderId="6" xfId="0" quotePrefix="1" applyNumberFormat="1" applyFont="1" applyFill="1" applyBorder="1" applyAlignment="1" applyProtection="1">
      <alignment horizontal="centerContinuous"/>
    </xf>
    <xf numFmtId="37" fontId="5" fillId="0" borderId="7" xfId="0" applyFont="1" applyFill="1" applyBorder="1" applyAlignment="1">
      <alignment horizontal="centerContinuous"/>
    </xf>
    <xf numFmtId="37" fontId="5" fillId="0" borderId="2" xfId="0" applyNumberFormat="1" applyFont="1" applyFill="1" applyBorder="1" applyAlignment="1" applyProtection="1">
      <alignment horizontal="centerContinuous"/>
    </xf>
    <xf numFmtId="37" fontId="5" fillId="0" borderId="2" xfId="0" applyFont="1" applyFill="1" applyBorder="1" applyAlignment="1">
      <alignment horizontal="centerContinuous"/>
    </xf>
    <xf numFmtId="37" fontId="5" fillId="0" borderId="8" xfId="0" applyNumberFormat="1" applyFont="1" applyFill="1" applyBorder="1" applyAlignment="1" applyProtection="1">
      <alignment horizontal="centerContinuous"/>
    </xf>
    <xf numFmtId="37" fontId="5" fillId="0" borderId="8" xfId="0" applyFont="1" applyFill="1" applyBorder="1"/>
    <xf numFmtId="37" fontId="5" fillId="0" borderId="1" xfId="0" applyNumberFormat="1" applyFont="1" applyFill="1" applyBorder="1" applyAlignment="1" applyProtection="1">
      <alignment horizontal="centerContinuous"/>
    </xf>
    <xf numFmtId="37" fontId="5" fillId="0" borderId="9" xfId="0" applyNumberFormat="1" applyFont="1" applyFill="1" applyBorder="1" applyProtection="1"/>
    <xf numFmtId="37" fontId="5" fillId="0" borderId="10" xfId="0" applyNumberFormat="1" applyFont="1" applyFill="1" applyBorder="1" applyAlignment="1" applyProtection="1"/>
    <xf numFmtId="37" fontId="5" fillId="0" borderId="11" xfId="0" applyFont="1" applyFill="1" applyBorder="1"/>
    <xf numFmtId="37" fontId="5" fillId="0" borderId="6" xfId="0" applyNumberFormat="1" applyFont="1" applyFill="1" applyBorder="1" applyAlignment="1" applyProtection="1">
      <alignment horizontal="centerContinuous"/>
    </xf>
    <xf numFmtId="37" fontId="5" fillId="0" borderId="4" xfId="0" applyFont="1" applyFill="1" applyBorder="1" applyAlignment="1">
      <alignment horizontal="centerContinuous"/>
    </xf>
    <xf numFmtId="37" fontId="5" fillId="0" borderId="0" xfId="0" applyNumberFormat="1" applyFont="1" applyFill="1" applyBorder="1" applyAlignment="1" applyProtection="1"/>
    <xf numFmtId="37" fontId="5" fillId="0" borderId="6" xfId="0" applyFont="1" applyFill="1" applyBorder="1" applyAlignment="1">
      <alignment horizontal="center"/>
    </xf>
    <xf numFmtId="37" fontId="5" fillId="0" borderId="7" xfId="0" applyFont="1" applyFill="1" applyBorder="1" applyAlignment="1">
      <alignment horizontal="center"/>
    </xf>
    <xf numFmtId="37" fontId="5" fillId="0" borderId="2" xfId="0" quotePrefix="1" applyNumberFormat="1" applyFont="1" applyFill="1" applyBorder="1" applyAlignment="1" applyProtection="1"/>
    <xf numFmtId="37" fontId="5" fillId="0" borderId="8" xfId="0" applyNumberFormat="1" applyFont="1" applyFill="1" applyBorder="1" applyAlignment="1" applyProtection="1"/>
    <xf numFmtId="37" fontId="5" fillId="0" borderId="12" xfId="0" applyFont="1" applyFill="1" applyBorder="1"/>
    <xf numFmtId="37" fontId="5" fillId="0" borderId="10" xfId="0" applyFont="1" applyFill="1" applyBorder="1"/>
    <xf numFmtId="37" fontId="5" fillId="0" borderId="7" xfId="0" applyFont="1" applyFill="1" applyBorder="1"/>
    <xf numFmtId="37" fontId="5" fillId="0" borderId="9" xfId="0" applyFont="1" applyFill="1" applyBorder="1"/>
    <xf numFmtId="37" fontId="5" fillId="0" borderId="10" xfId="0" applyFont="1" applyFill="1" applyBorder="1" applyAlignment="1">
      <alignment horizontal="center"/>
    </xf>
    <xf numFmtId="164" fontId="5" fillId="0" borderId="2" xfId="0" applyNumberFormat="1" applyFont="1" applyFill="1" applyBorder="1" applyProtection="1"/>
    <xf numFmtId="37" fontId="5" fillId="0" borderId="2" xfId="0" applyFont="1" applyFill="1" applyBorder="1" applyAlignment="1">
      <alignment horizontal="center"/>
    </xf>
    <xf numFmtId="37" fontId="5" fillId="0" borderId="13" xfId="0" applyNumberFormat="1" applyFont="1" applyFill="1" applyBorder="1" applyProtection="1"/>
    <xf numFmtId="37" fontId="5" fillId="0" borderId="0" xfId="0" applyFont="1" applyFill="1" applyBorder="1" applyAlignment="1">
      <alignment horizontal="center"/>
    </xf>
    <xf numFmtId="164" fontId="5" fillId="0" borderId="2" xfId="0" applyNumberFormat="1" applyFont="1" applyFill="1" applyBorder="1" applyAlignment="1" applyProtection="1">
      <alignment horizontal="right"/>
    </xf>
    <xf numFmtId="37" fontId="5" fillId="0" borderId="2" xfId="0" applyFont="1" applyFill="1" applyBorder="1" applyAlignment="1"/>
    <xf numFmtId="164" fontId="5" fillId="0" borderId="1" xfId="0" applyNumberFormat="1" applyFont="1" applyFill="1" applyBorder="1" applyProtection="1"/>
    <xf numFmtId="164" fontId="5" fillId="0" borderId="1" xfId="0" applyNumberFormat="1" applyFont="1" applyFill="1" applyBorder="1" applyAlignment="1" applyProtection="1"/>
    <xf numFmtId="164" fontId="5" fillId="0" borderId="2" xfId="0" quotePrefix="1" applyNumberFormat="1" applyFont="1" applyFill="1" applyBorder="1" applyAlignment="1" applyProtection="1">
      <alignment horizontal="left"/>
    </xf>
    <xf numFmtId="37" fontId="5" fillId="0" borderId="9" xfId="0" applyNumberFormat="1" applyFont="1" applyFill="1" applyBorder="1" applyAlignment="1" applyProtection="1"/>
    <xf numFmtId="37" fontId="5" fillId="0" borderId="12" xfId="0" quotePrefix="1" applyNumberFormat="1" applyFont="1" applyFill="1" applyBorder="1" applyAlignment="1" applyProtection="1">
      <alignment horizontal="left"/>
    </xf>
    <xf numFmtId="37" fontId="5" fillId="0" borderId="14" xfId="0" applyFont="1" applyFill="1" applyBorder="1" applyAlignment="1">
      <alignment horizontal="center"/>
    </xf>
    <xf numFmtId="37" fontId="5" fillId="0" borderId="8" xfId="0" applyFont="1" applyFill="1" applyBorder="1" applyAlignment="1">
      <alignment horizontal="center"/>
    </xf>
    <xf numFmtId="37" fontId="5" fillId="0" borderId="14" xfId="0" applyFont="1" applyFill="1" applyBorder="1"/>
    <xf numFmtId="37" fontId="6" fillId="0" borderId="14" xfId="0" applyFont="1" applyBorder="1"/>
    <xf numFmtId="37" fontId="6" fillId="0" borderId="8" xfId="0" applyFont="1" applyBorder="1"/>
    <xf numFmtId="37" fontId="5" fillId="0" borderId="8" xfId="0" applyFont="1" applyFill="1" applyBorder="1" applyAlignment="1">
      <alignment horizontal="centerContinuous"/>
    </xf>
    <xf numFmtId="37" fontId="5" fillId="0" borderId="7" xfId="0" applyNumberFormat="1" applyFont="1" applyFill="1" applyBorder="1" applyAlignment="1" applyProtection="1">
      <alignment horizontal="center"/>
    </xf>
    <xf numFmtId="37" fontId="5" fillId="0" borderId="13" xfId="0" applyFont="1" applyFill="1" applyBorder="1"/>
    <xf numFmtId="37" fontId="6" fillId="0" borderId="13" xfId="0" applyFont="1" applyBorder="1"/>
    <xf numFmtId="37" fontId="5" fillId="0" borderId="3" xfId="0" applyFont="1" applyFill="1" applyBorder="1" applyAlignment="1">
      <alignment horizontal="centerContinuous"/>
    </xf>
    <xf numFmtId="37" fontId="6" fillId="0" borderId="0" xfId="0" applyFont="1" applyBorder="1" applyAlignment="1">
      <alignment horizontal="center"/>
    </xf>
    <xf numFmtId="37" fontId="6" fillId="0" borderId="0" xfId="0" applyFont="1" applyBorder="1" applyAlignment="1"/>
    <xf numFmtId="37" fontId="6" fillId="0" borderId="0" xfId="0" applyFont="1" applyAlignment="1"/>
    <xf numFmtId="37" fontId="6" fillId="0" borderId="0" xfId="0" quotePrefix="1" applyNumberFormat="1" applyFont="1" applyBorder="1" applyAlignment="1" applyProtection="1"/>
    <xf numFmtId="37" fontId="7" fillId="0" borderId="0" xfId="0" applyFont="1" applyAlignment="1"/>
    <xf numFmtId="37" fontId="5" fillId="0" borderId="3" xfId="0" applyNumberFormat="1" applyFont="1" applyFill="1" applyBorder="1" applyAlignment="1" applyProtection="1"/>
    <xf numFmtId="37" fontId="5" fillId="0" borderId="3" xfId="0" applyFont="1" applyFill="1" applyBorder="1" applyAlignment="1"/>
    <xf numFmtId="37" fontId="5" fillId="0" borderId="4" xfId="0" applyFont="1" applyFill="1" applyBorder="1" applyAlignment="1"/>
    <xf numFmtId="4" fontId="5" fillId="0" borderId="2" xfId="0" applyNumberFormat="1" applyFont="1" applyFill="1" applyBorder="1" applyAlignment="1" applyProtection="1"/>
    <xf numFmtId="37" fontId="6" fillId="0" borderId="10" xfId="0" applyFont="1" applyBorder="1" applyAlignment="1"/>
    <xf numFmtId="3" fontId="5" fillId="0" borderId="2" xfId="0" applyNumberFormat="1" applyFont="1" applyFill="1" applyBorder="1" applyAlignment="1" applyProtection="1"/>
    <xf numFmtId="2" fontId="5" fillId="0" borderId="2" xfId="0" applyNumberFormat="1" applyFont="1" applyFill="1" applyBorder="1" applyAlignment="1" applyProtection="1"/>
    <xf numFmtId="37" fontId="5" fillId="0" borderId="4" xfId="0" quotePrefix="1" applyNumberFormat="1" applyFont="1" applyFill="1" applyBorder="1" applyAlignment="1" applyProtection="1">
      <alignment horizontal="center"/>
    </xf>
    <xf numFmtId="37" fontId="5" fillId="0" borderId="2" xfId="0" quotePrefix="1" applyNumberFormat="1" applyFont="1" applyFill="1" applyBorder="1" applyAlignment="1" applyProtection="1">
      <alignment horizontal="center"/>
    </xf>
    <xf numFmtId="37" fontId="6" fillId="0" borderId="2" xfId="0" applyFont="1" applyBorder="1" applyAlignment="1">
      <alignment horizontal="center"/>
    </xf>
    <xf numFmtId="37" fontId="6" fillId="0" borderId="4" xfId="0" applyFont="1" applyBorder="1" applyAlignment="1">
      <alignment horizontal="center"/>
    </xf>
    <xf numFmtId="37" fontId="5" fillId="2" borderId="2" xfId="0" applyNumberFormat="1" applyFont="1" applyFill="1" applyBorder="1" applyProtection="1"/>
    <xf numFmtId="37" fontId="5" fillId="2" borderId="2" xfId="0" applyNumberFormat="1" applyFont="1" applyFill="1" applyBorder="1" applyAlignment="1" applyProtection="1"/>
    <xf numFmtId="37" fontId="5" fillId="0" borderId="0" xfId="0" applyNumberFormat="1" applyFont="1" applyFill="1" applyBorder="1" applyAlignment="1" applyProtection="1">
      <alignment horizontal="left"/>
    </xf>
    <xf numFmtId="37" fontId="6" fillId="0" borderId="7" xfId="0" applyFont="1" applyBorder="1" applyAlignment="1">
      <alignment horizontal="centerContinuous"/>
    </xf>
    <xf numFmtId="37" fontId="5" fillId="0" borderId="9" xfId="0" quotePrefix="1" applyNumberFormat="1" applyFont="1" applyFill="1" applyBorder="1" applyAlignment="1" applyProtection="1"/>
    <xf numFmtId="37" fontId="5" fillId="0" borderId="8" xfId="0" quotePrefix="1" applyNumberFormat="1" applyFont="1" applyFill="1" applyBorder="1" applyAlignment="1" applyProtection="1">
      <alignment horizontal="left"/>
    </xf>
    <xf numFmtId="37" fontId="5" fillId="0" borderId="4" xfId="0" applyNumberFormat="1" applyFont="1" applyFill="1" applyBorder="1" applyProtection="1"/>
    <xf numFmtId="37" fontId="6" fillId="0" borderId="1" xfId="0" applyFont="1" applyBorder="1"/>
    <xf numFmtId="37" fontId="6" fillId="0" borderId="8" xfId="0" applyFont="1" applyBorder="1" applyAlignment="1">
      <alignment horizontal="centerContinuous"/>
    </xf>
    <xf numFmtId="37" fontId="6" fillId="0" borderId="2" xfId="0" applyFont="1" applyBorder="1" applyAlignment="1">
      <alignment horizontal="centerContinuous"/>
    </xf>
    <xf numFmtId="37" fontId="5" fillId="0" borderId="11" xfId="0" applyNumberFormat="1" applyFont="1" applyFill="1" applyBorder="1" applyProtection="1"/>
    <xf numFmtId="37" fontId="5" fillId="0" borderId="6" xfId="0" applyFont="1" applyFill="1" applyBorder="1" applyAlignment="1">
      <alignment horizontal="centerContinuous"/>
    </xf>
    <xf numFmtId="37" fontId="5" fillId="0" borderId="1" xfId="0" applyFont="1" applyFill="1" applyBorder="1" applyAlignment="1">
      <alignment horizontal="centerContinuous"/>
    </xf>
    <xf numFmtId="37" fontId="6" fillId="0" borderId="0" xfId="0" applyNumberFormat="1" applyFont="1" applyBorder="1" applyProtection="1"/>
    <xf numFmtId="37" fontId="6" fillId="0" borderId="0" xfId="0" applyNumberFormat="1" applyFont="1" applyBorder="1" applyAlignment="1" applyProtection="1">
      <alignment horizontal="center"/>
    </xf>
    <xf numFmtId="37" fontId="5" fillId="0" borderId="5" xfId="0" applyNumberFormat="1" applyFont="1" applyFill="1" applyBorder="1" applyAlignment="1" applyProtection="1">
      <alignment horizontal="centerContinuous"/>
    </xf>
    <xf numFmtId="37" fontId="6" fillId="0" borderId="6" xfId="0" applyFont="1" applyBorder="1" applyAlignment="1">
      <alignment horizontal="centerContinuous"/>
    </xf>
    <xf numFmtId="37" fontId="5" fillId="0" borderId="2" xfId="0" quotePrefix="1" applyNumberFormat="1" applyFont="1" applyFill="1" applyBorder="1" applyAlignment="1" applyProtection="1">
      <alignment horizontal="centerContinuous"/>
    </xf>
    <xf numFmtId="37" fontId="5" fillId="0" borderId="3" xfId="0" applyNumberFormat="1" applyFont="1" applyFill="1" applyBorder="1" applyAlignment="1" applyProtection="1">
      <alignment horizontal="center"/>
    </xf>
    <xf numFmtId="37" fontId="5" fillId="0" borderId="1" xfId="0" applyNumberFormat="1" applyFont="1" applyFill="1" applyBorder="1" applyAlignment="1" applyProtection="1">
      <alignment horizontal="center"/>
    </xf>
    <xf numFmtId="37" fontId="5" fillId="0" borderId="13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Fill="1" applyBorder="1" applyAlignment="1" applyProtection="1"/>
    <xf numFmtId="37" fontId="5" fillId="0" borderId="4" xfId="0" quotePrefix="1" applyNumberFormat="1" applyFont="1" applyFill="1" applyBorder="1" applyAlignment="1" applyProtection="1"/>
    <xf numFmtId="37" fontId="5" fillId="0" borderId="13" xfId="0" applyNumberFormat="1" applyFont="1" applyFill="1" applyBorder="1" applyAlignment="1" applyProtection="1">
      <alignment horizontal="centerContinuous"/>
    </xf>
    <xf numFmtId="37" fontId="6" fillId="0" borderId="4" xfId="0" applyFont="1" applyBorder="1" applyAlignment="1">
      <alignment horizontal="centerContinuous"/>
    </xf>
    <xf numFmtId="37" fontId="5" fillId="0" borderId="7" xfId="0" applyNumberFormat="1" applyFont="1" applyFill="1" applyBorder="1" applyAlignment="1" applyProtection="1">
      <alignment horizontal="centerContinuous"/>
    </xf>
    <xf numFmtId="37" fontId="5" fillId="0" borderId="14" xfId="0" applyNumberFormat="1" applyFont="1" applyFill="1" applyBorder="1" applyAlignment="1" applyProtection="1">
      <alignment horizontal="left"/>
    </xf>
    <xf numFmtId="37" fontId="6" fillId="0" borderId="12" xfId="0" applyFont="1" applyBorder="1"/>
    <xf numFmtId="37" fontId="6" fillId="0" borderId="6" xfId="0" applyFont="1" applyBorder="1"/>
    <xf numFmtId="37" fontId="6" fillId="0" borderId="7" xfId="0" applyFont="1" applyBorder="1"/>
    <xf numFmtId="37" fontId="6" fillId="0" borderId="15" xfId="0" applyFont="1" applyBorder="1"/>
    <xf numFmtId="37" fontId="6" fillId="0" borderId="12" xfId="0" quotePrefix="1" applyNumberFormat="1" applyFont="1" applyBorder="1" applyAlignment="1" applyProtection="1"/>
    <xf numFmtId="37" fontId="6" fillId="0" borderId="12" xfId="0" quotePrefix="1" applyNumberFormat="1" applyFont="1" applyBorder="1" applyAlignment="1" applyProtection="1">
      <alignment horizontal="left"/>
    </xf>
    <xf numFmtId="37" fontId="6" fillId="0" borderId="12" xfId="0" applyNumberFormat="1" applyFont="1" applyBorder="1" applyAlignment="1" applyProtection="1"/>
    <xf numFmtId="37" fontId="6" fillId="0" borderId="10" xfId="0" applyFont="1" applyBorder="1"/>
    <xf numFmtId="37" fontId="5" fillId="0" borderId="8" xfId="0" applyNumberFormat="1" applyFont="1" applyFill="1" applyBorder="1" applyProtection="1"/>
    <xf numFmtId="37" fontId="5" fillId="0" borderId="14" xfId="0" applyFont="1" applyFill="1" applyBorder="1" applyAlignment="1">
      <alignment horizontal="centerContinuous"/>
    </xf>
    <xf numFmtId="37" fontId="5" fillId="0" borderId="12" xfId="0" applyNumberFormat="1" applyFont="1" applyFill="1" applyBorder="1" applyAlignment="1" applyProtection="1"/>
    <xf numFmtId="37" fontId="5" fillId="0" borderId="1" xfId="0" applyFont="1" applyFill="1" applyBorder="1"/>
    <xf numFmtId="37" fontId="6" fillId="0" borderId="3" xfId="0" applyNumberFormat="1" applyFont="1" applyBorder="1" applyProtection="1"/>
    <xf numFmtId="37" fontId="6" fillId="2" borderId="0" xfId="0" applyFont="1" applyFill="1" applyBorder="1"/>
    <xf numFmtId="37" fontId="6" fillId="2" borderId="4" xfId="0" applyFont="1" applyFill="1" applyBorder="1"/>
    <xf numFmtId="37" fontId="6" fillId="0" borderId="9" xfId="0" applyFont="1" applyBorder="1"/>
    <xf numFmtId="37" fontId="5" fillId="0" borderId="12" xfId="0" applyNumberFormat="1" applyFont="1" applyFill="1" applyBorder="1" applyAlignment="1" applyProtection="1">
      <alignment horizontal="left"/>
    </xf>
    <xf numFmtId="37" fontId="5" fillId="0" borderId="10" xfId="0" applyNumberFormat="1" applyFont="1" applyFill="1" applyBorder="1" applyAlignment="1" applyProtection="1">
      <alignment horizontal="right"/>
    </xf>
    <xf numFmtId="37" fontId="6" fillId="0" borderId="10" xfId="0" applyNumberFormat="1" applyFont="1" applyBorder="1" applyProtection="1"/>
    <xf numFmtId="37" fontId="6" fillId="2" borderId="12" xfId="0" applyFont="1" applyFill="1" applyBorder="1"/>
    <xf numFmtId="37" fontId="6" fillId="2" borderId="10" xfId="0" applyFont="1" applyFill="1" applyBorder="1"/>
    <xf numFmtId="37" fontId="5" fillId="0" borderId="1" xfId="0" applyFont="1" applyFill="1" applyBorder="1" applyAlignment="1"/>
    <xf numFmtId="37" fontId="6" fillId="0" borderId="16" xfId="0" applyFont="1" applyBorder="1"/>
    <xf numFmtId="37" fontId="6" fillId="0" borderId="17" xfId="0" applyFont="1" applyBorder="1"/>
    <xf numFmtId="37" fontId="6" fillId="0" borderId="18" xfId="0" applyFont="1" applyBorder="1"/>
    <xf numFmtId="37" fontId="6" fillId="0" borderId="19" xfId="0" applyFont="1" applyBorder="1"/>
    <xf numFmtId="37" fontId="6" fillId="0" borderId="20" xfId="0" applyFont="1" applyBorder="1"/>
    <xf numFmtId="37" fontId="6" fillId="0" borderId="21" xfId="0" applyFont="1" applyBorder="1"/>
    <xf numFmtId="37" fontId="6" fillId="0" borderId="22" xfId="0" applyFont="1" applyBorder="1"/>
    <xf numFmtId="37" fontId="6" fillId="0" borderId="23" xfId="0" applyFont="1" applyBorder="1"/>
    <xf numFmtId="37" fontId="6" fillId="0" borderId="17" xfId="0" applyFont="1" applyBorder="1" applyAlignment="1">
      <alignment horizontal="center"/>
    </xf>
    <xf numFmtId="37" fontId="6" fillId="0" borderId="17" xfId="0" applyFont="1" applyBorder="1" applyAlignment="1">
      <alignment horizontal="right"/>
    </xf>
    <xf numFmtId="37" fontId="6" fillId="0" borderId="0" xfId="0" applyFont="1" applyBorder="1" applyAlignment="1">
      <alignment horizontal="right"/>
    </xf>
    <xf numFmtId="37" fontId="6" fillId="0" borderId="24" xfId="0" applyFont="1" applyBorder="1"/>
    <xf numFmtId="37" fontId="6" fillId="0" borderId="8" xfId="0" applyFont="1" applyBorder="1" applyAlignment="1">
      <alignment horizontal="center"/>
    </xf>
    <xf numFmtId="37" fontId="6" fillId="0" borderId="25" xfId="0" applyFont="1" applyBorder="1"/>
    <xf numFmtId="37" fontId="6" fillId="0" borderId="26" xfId="0" applyFont="1" applyBorder="1"/>
    <xf numFmtId="37" fontId="6" fillId="0" borderId="27" xfId="0" applyFont="1" applyBorder="1"/>
    <xf numFmtId="37" fontId="6" fillId="0" borderId="28" xfId="0" quotePrefix="1" applyFont="1" applyBorder="1" applyAlignment="1">
      <alignment horizontal="left"/>
    </xf>
    <xf numFmtId="37" fontId="6" fillId="0" borderId="29" xfId="0" applyFont="1" applyBorder="1"/>
    <xf numFmtId="37" fontId="6" fillId="0" borderId="28" xfId="0" applyFont="1" applyBorder="1" applyAlignment="1">
      <alignment horizontal="center"/>
    </xf>
    <xf numFmtId="37" fontId="6" fillId="0" borderId="30" xfId="0" applyFont="1" applyBorder="1"/>
    <xf numFmtId="37" fontId="6" fillId="0" borderId="31" xfId="0" applyFont="1" applyBorder="1"/>
    <xf numFmtId="37" fontId="6" fillId="0" borderId="31" xfId="0" applyFont="1" applyBorder="1" applyAlignment="1">
      <alignment horizontal="center"/>
    </xf>
    <xf numFmtId="37" fontId="6" fillId="0" borderId="32" xfId="0" applyFont="1" applyBorder="1"/>
    <xf numFmtId="37" fontId="9" fillId="0" borderId="0" xfId="0" applyFont="1"/>
    <xf numFmtId="37" fontId="7" fillId="0" borderId="0" xfId="0" quotePrefix="1" applyFont="1" applyAlignment="1">
      <alignment horizontal="right"/>
    </xf>
    <xf numFmtId="37" fontId="8" fillId="0" borderId="0" xfId="0" quotePrefix="1" applyFont="1" applyAlignment="1">
      <alignment horizontal="right"/>
    </xf>
    <xf numFmtId="37" fontId="6" fillId="0" borderId="0" xfId="0" quotePrefix="1" applyFont="1" applyBorder="1" applyAlignment="1">
      <alignment horizontal="right"/>
    </xf>
    <xf numFmtId="37" fontId="5" fillId="0" borderId="0" xfId="0" quotePrefix="1" applyNumberFormat="1" applyFont="1" applyFill="1" applyBorder="1" applyAlignment="1" applyProtection="1">
      <alignment horizontal="right"/>
    </xf>
    <xf numFmtId="37" fontId="6" fillId="0" borderId="0" xfId="0" quotePrefix="1" applyFont="1" applyAlignment="1">
      <alignment horizontal="right"/>
    </xf>
    <xf numFmtId="37" fontId="4" fillId="3" borderId="0" xfId="0" applyFont="1" applyFill="1" applyAlignment="1" applyProtection="1">
      <alignment horizontal="center"/>
    </xf>
    <xf numFmtId="37" fontId="4" fillId="3" borderId="0" xfId="0" quotePrefix="1" applyFont="1" applyFill="1" applyAlignment="1" applyProtection="1">
      <alignment horizontal="left"/>
    </xf>
    <xf numFmtId="37" fontId="4" fillId="3" borderId="0" xfId="0" applyFont="1" applyFill="1" applyAlignment="1" applyProtection="1">
      <alignment horizontal="right"/>
    </xf>
    <xf numFmtId="37" fontId="4" fillId="3" borderId="0" xfId="0" applyFont="1" applyFill="1" applyAlignment="1" applyProtection="1"/>
    <xf numFmtId="37" fontId="10" fillId="4" borderId="1" xfId="0" applyFont="1" applyFill="1" applyBorder="1" applyProtection="1">
      <protection locked="0"/>
    </xf>
    <xf numFmtId="37" fontId="4" fillId="3" borderId="0" xfId="0" applyFont="1" applyFill="1" applyProtection="1"/>
    <xf numFmtId="37" fontId="10" fillId="3" borderId="0" xfId="0" applyFont="1" applyFill="1" applyAlignment="1" applyProtection="1">
      <alignment horizontal="center"/>
    </xf>
    <xf numFmtId="37" fontId="4" fillId="3" borderId="0" xfId="0" quotePrefix="1" applyFont="1" applyFill="1" applyAlignment="1" applyProtection="1"/>
    <xf numFmtId="37" fontId="10" fillId="3" borderId="0" xfId="0" applyFont="1" applyFill="1" applyProtection="1"/>
    <xf numFmtId="37" fontId="4" fillId="0" borderId="0" xfId="0" applyFont="1" applyAlignment="1" applyProtection="1"/>
    <xf numFmtId="37" fontId="4" fillId="0" borderId="0" xfId="0" applyFont="1" applyProtection="1"/>
    <xf numFmtId="37" fontId="4" fillId="0" borderId="0" xfId="0" applyFont="1" applyAlignment="1" applyProtection="1">
      <alignment horizontal="center"/>
    </xf>
    <xf numFmtId="38" fontId="4" fillId="3" borderId="0" xfId="0" applyNumberFormat="1" applyFont="1" applyFill="1" applyAlignment="1" applyProtection="1">
      <alignment horizontal="center"/>
    </xf>
    <xf numFmtId="37" fontId="10" fillId="0" borderId="1" xfId="0" applyNumberFormat="1" applyFont="1" applyBorder="1" applyAlignment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7" fontId="10" fillId="0" borderId="1" xfId="1" quotePrefix="1" applyNumberFormat="1" applyFont="1" applyBorder="1" applyProtection="1">
      <protection locked="0"/>
    </xf>
    <xf numFmtId="39" fontId="10" fillId="0" borderId="1" xfId="3" quotePrefix="1" applyNumberFormat="1" applyFont="1" applyBorder="1" applyProtection="1">
      <protection locked="0"/>
    </xf>
    <xf numFmtId="39" fontId="10" fillId="0" borderId="1" xfId="0" quotePrefix="1" applyNumberFormat="1" applyFont="1" applyBorder="1" applyProtection="1">
      <protection locked="0"/>
    </xf>
    <xf numFmtId="37" fontId="10" fillId="4" borderId="1" xfId="0" quotePrefix="1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4" fillId="3" borderId="0" xfId="0" applyNumberFormat="1" applyFont="1" applyFill="1" applyAlignment="1" applyProtection="1">
      <alignment horizontal="right"/>
    </xf>
    <xf numFmtId="38" fontId="4" fillId="3" borderId="0" xfId="0" applyNumberFormat="1" applyFont="1" applyFill="1" applyProtection="1"/>
    <xf numFmtId="38" fontId="10" fillId="3" borderId="0" xfId="0" applyNumberFormat="1" applyFont="1" applyFill="1" applyAlignment="1" applyProtection="1">
      <alignment horizontal="center"/>
    </xf>
    <xf numFmtId="38" fontId="10" fillId="3" borderId="0" xfId="0" applyNumberFormat="1" applyFont="1" applyFill="1" applyProtection="1"/>
    <xf numFmtId="37" fontId="4" fillId="0" borderId="0" xfId="0" applyFont="1" applyFill="1" applyAlignment="1" applyProtection="1"/>
    <xf numFmtId="37" fontId="4" fillId="3" borderId="0" xfId="0" applyNumberFormat="1" applyFont="1" applyFill="1" applyProtection="1"/>
    <xf numFmtId="164" fontId="4" fillId="0" borderId="0" xfId="0" applyNumberFormat="1" applyFont="1" applyProtection="1"/>
    <xf numFmtId="39" fontId="4" fillId="0" borderId="0" xfId="0" applyNumberFormat="1" applyFont="1" applyProtection="1"/>
    <xf numFmtId="37" fontId="4" fillId="0" borderId="0" xfId="0" applyFont="1" applyAlignment="1" applyProtection="1">
      <alignment horizontal="left"/>
    </xf>
    <xf numFmtId="37" fontId="4" fillId="0" borderId="0" xfId="0" quotePrefix="1" applyFont="1" applyAlignment="1" applyProtection="1">
      <alignment horizontal="left"/>
    </xf>
    <xf numFmtId="164" fontId="4" fillId="0" borderId="0" xfId="0" applyNumberFormat="1" applyFont="1" applyAlignment="1" applyProtection="1">
      <alignment horizontal="left"/>
    </xf>
    <xf numFmtId="38" fontId="10" fillId="4" borderId="2" xfId="0" applyNumberFormat="1" applyFont="1" applyFill="1" applyBorder="1" applyProtection="1">
      <protection locked="0"/>
    </xf>
    <xf numFmtId="38" fontId="10" fillId="4" borderId="8" xfId="0" applyNumberFormat="1" applyFont="1" applyFill="1" applyBorder="1" applyProtection="1">
      <protection locked="0"/>
    </xf>
    <xf numFmtId="37" fontId="4" fillId="0" borderId="0" xfId="0" quotePrefix="1" applyFont="1" applyAlignment="1" applyProtection="1">
      <alignment horizontal="fill"/>
    </xf>
    <xf numFmtId="37" fontId="4" fillId="3" borderId="0" xfId="0" quotePrefix="1" applyFont="1" applyFill="1" applyAlignment="1" applyProtection="1">
      <alignment horizontal="centerContinuous"/>
    </xf>
    <xf numFmtId="37" fontId="4" fillId="3" borderId="0" xfId="0" applyFont="1" applyFill="1" applyAlignment="1" applyProtection="1">
      <alignment horizontal="centerContinuous"/>
    </xf>
    <xf numFmtId="37" fontId="5" fillId="5" borderId="2" xfId="0" applyFont="1" applyFill="1" applyBorder="1" applyAlignment="1"/>
    <xf numFmtId="37" fontId="5" fillId="6" borderId="2" xfId="0" applyFont="1" applyFill="1" applyBorder="1" applyAlignment="1"/>
    <xf numFmtId="37" fontId="5" fillId="6" borderId="2" xfId="0" applyFont="1" applyFill="1" applyBorder="1" applyAlignment="1">
      <alignment horizontal="center"/>
    </xf>
    <xf numFmtId="37" fontId="5" fillId="6" borderId="2" xfId="0" quotePrefix="1" applyNumberFormat="1" applyFont="1" applyFill="1" applyBorder="1" applyAlignment="1" applyProtection="1">
      <alignment horizontal="center"/>
    </xf>
    <xf numFmtId="37" fontId="5" fillId="6" borderId="2" xfId="0" applyNumberFormat="1" applyFont="1" applyFill="1" applyBorder="1" applyAlignment="1" applyProtection="1"/>
    <xf numFmtId="37" fontId="5" fillId="6" borderId="2" xfId="0" quotePrefix="1" applyFont="1" applyFill="1" applyBorder="1" applyAlignment="1"/>
    <xf numFmtId="39" fontId="5" fillId="6" borderId="2" xfId="0" quotePrefix="1" applyNumberFormat="1" applyFont="1" applyFill="1" applyBorder="1" applyAlignment="1" applyProtection="1">
      <alignment horizontal="center"/>
    </xf>
    <xf numFmtId="39" fontId="5" fillId="6" borderId="2" xfId="0" applyNumberFormat="1" applyFont="1" applyFill="1" applyBorder="1" applyAlignment="1" applyProtection="1"/>
    <xf numFmtId="3" fontId="5" fillId="6" borderId="2" xfId="0" applyNumberFormat="1" applyFont="1" applyFill="1" applyBorder="1" applyAlignment="1" applyProtection="1"/>
    <xf numFmtId="3" fontId="5" fillId="6" borderId="2" xfId="0" applyNumberFormat="1" applyFont="1" applyFill="1" applyBorder="1" applyAlignment="1"/>
    <xf numFmtId="37" fontId="5" fillId="6" borderId="2" xfId="0" applyNumberFormat="1" applyFont="1" applyFill="1" applyBorder="1" applyAlignment="1"/>
    <xf numFmtId="39" fontId="10" fillId="0" borderId="1" xfId="1" quotePrefix="1" applyNumberFormat="1" applyFont="1" applyBorder="1" applyProtection="1">
      <protection locked="0"/>
    </xf>
    <xf numFmtId="38" fontId="10" fillId="4" borderId="1" xfId="0" applyNumberFormat="1" applyFont="1" applyFill="1" applyBorder="1" applyAlignment="1" applyProtection="1">
      <alignment horizontal="center"/>
      <protection locked="0"/>
    </xf>
    <xf numFmtId="39" fontId="10" fillId="0" borderId="1" xfId="0" applyNumberFormat="1" applyFont="1" applyBorder="1" applyProtection="1">
      <protection locked="0"/>
    </xf>
    <xf numFmtId="37" fontId="10" fillId="0" borderId="1" xfId="1" applyNumberFormat="1" applyFont="1" applyBorder="1" applyProtection="1">
      <protection locked="0"/>
    </xf>
    <xf numFmtId="165" fontId="10" fillId="0" borderId="1" xfId="1" quotePrefix="1" applyNumberFormat="1" applyFont="1" applyBorder="1" applyProtection="1">
      <protection locked="0"/>
    </xf>
    <xf numFmtId="38" fontId="10" fillId="4" borderId="1" xfId="0" quotePrefix="1" applyNumberFormat="1" applyFont="1" applyFill="1" applyBorder="1" applyAlignment="1" applyProtection="1">
      <alignment horizontal="left"/>
      <protection locked="0"/>
    </xf>
    <xf numFmtId="38" fontId="10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>
      <alignment horizontal="left"/>
    </xf>
    <xf numFmtId="3" fontId="6" fillId="0" borderId="2" xfId="0" applyNumberFormat="1" applyFont="1" applyFill="1" applyBorder="1" applyAlignment="1" applyProtection="1"/>
    <xf numFmtId="38" fontId="10" fillId="4" borderId="14" xfId="0" applyNumberFormat="1" applyFont="1" applyFill="1" applyBorder="1" applyProtection="1">
      <protection locked="0"/>
    </xf>
    <xf numFmtId="38" fontId="10" fillId="4" borderId="14" xfId="0" quotePrefix="1" applyNumberFormat="1" applyFont="1" applyFill="1" applyBorder="1" applyAlignment="1" applyProtection="1">
      <alignment horizontal="left"/>
      <protection locked="0"/>
    </xf>
    <xf numFmtId="38" fontId="10" fillId="3" borderId="8" xfId="0" applyNumberFormat="1" applyFont="1" applyFill="1" applyBorder="1" applyAlignment="1" applyProtection="1">
      <alignment horizontal="center"/>
      <protection locked="0"/>
    </xf>
    <xf numFmtId="37" fontId="4" fillId="0" borderId="0" xfId="0" applyFont="1" applyFill="1" applyAlignment="1" applyProtection="1">
      <alignment horizontal="left"/>
    </xf>
    <xf numFmtId="37" fontId="4" fillId="0" borderId="0" xfId="0" applyFont="1" applyFill="1" applyProtection="1"/>
    <xf numFmtId="38" fontId="4" fillId="0" borderId="0" xfId="0" applyNumberFormat="1" applyFont="1" applyFill="1" applyProtection="1"/>
    <xf numFmtId="38" fontId="4" fillId="0" borderId="0" xfId="0" applyNumberFormat="1" applyFont="1" applyProtection="1"/>
    <xf numFmtId="37" fontId="4" fillId="7" borderId="0" xfId="0" applyFont="1" applyFill="1" applyProtection="1"/>
    <xf numFmtId="37" fontId="4" fillId="7" borderId="0" xfId="0" quotePrefix="1" applyFont="1" applyFill="1" applyAlignment="1" applyProtection="1">
      <alignment horizontal="left"/>
    </xf>
    <xf numFmtId="38" fontId="4" fillId="7" borderId="0" xfId="0" applyNumberFormat="1" applyFont="1" applyFill="1" applyProtection="1"/>
    <xf numFmtId="37" fontId="4" fillId="0" borderId="0" xfId="0" quotePrefix="1" applyFont="1" applyAlignment="1" applyProtection="1"/>
    <xf numFmtId="0" fontId="4" fillId="0" borderId="0" xfId="0" applyNumberFormat="1" applyFont="1" applyAlignment="1" applyProtection="1">
      <alignment horizontal="center"/>
    </xf>
    <xf numFmtId="0" fontId="4" fillId="0" borderId="0" xfId="0" applyNumberFormat="1" applyFont="1" applyAlignment="1" applyProtection="1"/>
    <xf numFmtId="0" fontId="4" fillId="0" borderId="0" xfId="0" quotePrefix="1" applyNumberFormat="1" applyFont="1" applyAlignment="1" applyProtection="1">
      <alignment horizontal="center"/>
    </xf>
    <xf numFmtId="37" fontId="4" fillId="3" borderId="0" xfId="0" quotePrefix="1" applyFont="1" applyFill="1" applyAlignment="1" applyProtection="1">
      <alignment horizontal="center"/>
    </xf>
    <xf numFmtId="37" fontId="4" fillId="3" borderId="0" xfId="0" quotePrefix="1" applyNumberFormat="1" applyFont="1" applyFill="1" applyAlignment="1" applyProtection="1"/>
    <xf numFmtId="166" fontId="4" fillId="3" borderId="0" xfId="0" applyNumberFormat="1" applyFont="1" applyFill="1" applyAlignment="1" applyProtection="1">
      <alignment horizontal="center"/>
    </xf>
    <xf numFmtId="37" fontId="4" fillId="3" borderId="0" xfId="0" quotePrefix="1" applyFont="1" applyFill="1" applyAlignment="1" applyProtection="1">
      <alignment horizontal="fill"/>
    </xf>
    <xf numFmtId="37" fontId="4" fillId="3" borderId="0" xfId="1" applyNumberFormat="1" applyFont="1" applyFill="1" applyProtection="1"/>
    <xf numFmtId="37" fontId="4" fillId="3" borderId="0" xfId="0" quotePrefix="1" applyNumberFormat="1" applyFont="1" applyFill="1" applyAlignment="1" applyProtection="1">
      <alignment horizontal="fill"/>
    </xf>
    <xf numFmtId="39" fontId="4" fillId="3" borderId="0" xfId="0" quotePrefix="1" applyNumberFormat="1" applyFont="1" applyFill="1" applyAlignment="1" applyProtection="1">
      <alignment horizontal="left"/>
    </xf>
    <xf numFmtId="4" fontId="4" fillId="3" borderId="0" xfId="0" applyNumberFormat="1" applyFont="1" applyFill="1" applyProtection="1"/>
    <xf numFmtId="37" fontId="4" fillId="0" borderId="0" xfId="0" applyNumberFormat="1" applyFont="1" applyProtection="1"/>
    <xf numFmtId="37" fontId="4" fillId="3" borderId="0" xfId="1" quotePrefix="1" applyNumberFormat="1" applyFont="1" applyFill="1" applyAlignment="1" applyProtection="1">
      <alignment horizontal="fill"/>
    </xf>
    <xf numFmtId="39" fontId="4" fillId="3" borderId="0" xfId="0" quotePrefix="1" applyNumberFormat="1" applyFont="1" applyFill="1" applyAlignment="1" applyProtection="1">
      <alignment horizontal="fill"/>
    </xf>
    <xf numFmtId="39" fontId="4" fillId="3" borderId="0" xfId="0" applyNumberFormat="1" applyFont="1" applyFill="1" applyProtection="1"/>
    <xf numFmtId="37" fontId="11" fillId="3" borderId="0" xfId="0" applyFont="1" applyFill="1" applyProtection="1"/>
    <xf numFmtId="37" fontId="10" fillId="3" borderId="0" xfId="0" applyFont="1" applyFill="1" applyAlignment="1" applyProtection="1">
      <alignment horizontal="centerContinuous"/>
    </xf>
    <xf numFmtId="37" fontId="10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4" fillId="0" borderId="0" xfId="0" applyNumberFormat="1" applyFont="1" applyProtection="1"/>
    <xf numFmtId="1" fontId="4" fillId="0" borderId="0" xfId="0" applyNumberFormat="1" applyFont="1" applyAlignment="1" applyProtection="1">
      <alignment horizontal="center"/>
    </xf>
    <xf numFmtId="37" fontId="4" fillId="0" borderId="0" xfId="0" quotePrefix="1" applyFont="1" applyAlignment="1" applyProtection="1">
      <alignment horizontal="center"/>
    </xf>
    <xf numFmtId="2" fontId="4" fillId="0" borderId="0" xfId="0" applyNumberFormat="1" applyFont="1" applyProtection="1"/>
    <xf numFmtId="2" fontId="4" fillId="0" borderId="0" xfId="0" applyNumberFormat="1" applyFont="1" applyAlignment="1" applyProtection="1"/>
    <xf numFmtId="10" fontId="4" fillId="0" borderId="0" xfId="0" applyNumberFormat="1" applyFont="1" applyProtection="1"/>
    <xf numFmtId="37" fontId="10" fillId="0" borderId="0" xfId="0" applyFont="1" applyProtection="1"/>
    <xf numFmtId="37" fontId="4" fillId="0" borderId="0" xfId="0" applyFont="1" applyProtection="1">
      <protection locked="0"/>
    </xf>
    <xf numFmtId="37" fontId="6" fillId="0" borderId="0" xfId="0" applyFont="1" applyAlignment="1" applyProtection="1"/>
    <xf numFmtId="37" fontId="6" fillId="0" borderId="0" xfId="0" applyFont="1" applyProtection="1"/>
    <xf numFmtId="38" fontId="10" fillId="4" borderId="14" xfId="0" quotePrefix="1" applyNumberFormat="1" applyFont="1" applyFill="1" applyBorder="1" applyProtection="1">
      <protection locked="0"/>
    </xf>
    <xf numFmtId="37" fontId="4" fillId="3" borderId="0" xfId="0" applyFont="1" applyFill="1" applyAlignment="1" applyProtection="1">
      <alignment horizontal="left"/>
    </xf>
    <xf numFmtId="37" fontId="4" fillId="8" borderId="0" xfId="0" applyFont="1" applyFill="1" applyProtection="1"/>
    <xf numFmtId="37" fontId="5" fillId="0" borderId="8" xfId="0" applyNumberFormat="1" applyFont="1" applyFill="1" applyBorder="1" applyAlignment="1" applyProtection="1">
      <alignment horizontal="left"/>
    </xf>
    <xf numFmtId="164" fontId="5" fillId="0" borderId="3" xfId="0" applyNumberFormat="1" applyFont="1" applyFill="1" applyBorder="1" applyAlignment="1" applyProtection="1"/>
    <xf numFmtId="49" fontId="10" fillId="4" borderId="1" xfId="0" quotePrefix="1" applyNumberFormat="1" applyFont="1" applyFill="1" applyBorder="1" applyAlignment="1" applyProtection="1">
      <protection locked="0"/>
    </xf>
    <xf numFmtId="37" fontId="13" fillId="0" borderId="0" xfId="2" applyNumberFormat="1" applyFont="1" applyAlignment="1" applyProtection="1"/>
    <xf numFmtId="38" fontId="4" fillId="8" borderId="0" xfId="0" applyNumberFormat="1" applyFont="1" applyFill="1" applyProtection="1"/>
    <xf numFmtId="37" fontId="14" fillId="0" borderId="23" xfId="0" applyFont="1" applyBorder="1" applyAlignment="1">
      <alignment horizontal="right"/>
    </xf>
    <xf numFmtId="49" fontId="10" fillId="4" borderId="1" xfId="0" quotePrefix="1" applyNumberFormat="1" applyFont="1" applyFill="1" applyBorder="1" applyAlignment="1" applyProtection="1">
      <alignment horizontal="left"/>
      <protection locked="0"/>
    </xf>
    <xf numFmtId="37" fontId="4" fillId="0" borderId="0" xfId="0" applyFont="1" applyFill="1" applyAlignment="1" applyProtection="1">
      <protection locked="0"/>
    </xf>
    <xf numFmtId="37" fontId="4" fillId="3" borderId="0" xfId="0" applyFont="1" applyFill="1" applyProtection="1">
      <protection locked="0"/>
    </xf>
    <xf numFmtId="37" fontId="10" fillId="3" borderId="0" xfId="0" applyFont="1" applyFill="1" applyAlignment="1" applyProtection="1">
      <alignment horizontal="center" vertical="center"/>
    </xf>
  </cellXfs>
  <cellStyles count="11">
    <cellStyle name="Comma" xfId="1" builtinId="3"/>
    <cellStyle name="Comma 10 10" xfId="9"/>
    <cellStyle name="Hyperlink" xfId="2" builtinId="8"/>
    <cellStyle name="Normal" xfId="0" builtinId="0"/>
    <cellStyle name="Normal 11" xfId="4"/>
    <cellStyle name="Normal 557" xfId="6"/>
    <cellStyle name="Normal 561" xfId="7"/>
    <cellStyle name="Normal 568" xfId="8"/>
    <cellStyle name="Normal 576" xfId="10"/>
    <cellStyle name="Percent" xfId="3" builtinId="5"/>
    <cellStyle name="Percent 460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29" t="s">
        <v>968</v>
      </c>
      <c r="B1" s="230"/>
      <c r="C1" s="230"/>
      <c r="D1" s="230"/>
      <c r="E1" s="230"/>
      <c r="F1" s="230"/>
    </row>
    <row r="2" spans="1:6" ht="12.75" customHeight="1" x14ac:dyDescent="0.25">
      <c r="A2" s="230" t="s">
        <v>969</v>
      </c>
      <c r="B2" s="230"/>
      <c r="C2" s="231"/>
      <c r="D2" s="230"/>
      <c r="E2" s="230"/>
      <c r="F2" s="230"/>
    </row>
    <row r="3" spans="1:6" ht="12.75" customHeight="1" x14ac:dyDescent="0.25">
      <c r="A3" s="199"/>
      <c r="C3" s="232"/>
    </row>
    <row r="4" spans="1:6" ht="12.75" customHeight="1" x14ac:dyDescent="0.25">
      <c r="C4" s="232"/>
    </row>
    <row r="5" spans="1:6" ht="12.75" customHeight="1" x14ac:dyDescent="0.25">
      <c r="A5" s="199" t="s">
        <v>993</v>
      </c>
      <c r="C5" s="232"/>
    </row>
    <row r="6" spans="1:6" ht="12.75" customHeight="1" x14ac:dyDescent="0.25">
      <c r="A6" s="199" t="s">
        <v>0</v>
      </c>
      <c r="C6" s="232"/>
    </row>
    <row r="7" spans="1:6" ht="12.75" customHeight="1" x14ac:dyDescent="0.25">
      <c r="A7" s="199" t="s">
        <v>1</v>
      </c>
      <c r="C7" s="232"/>
    </row>
    <row r="8" spans="1:6" ht="12.75" customHeight="1" x14ac:dyDescent="0.25">
      <c r="C8" s="232"/>
    </row>
    <row r="9" spans="1:6" ht="12.75" customHeight="1" x14ac:dyDescent="0.25">
      <c r="C9" s="232"/>
    </row>
    <row r="10" spans="1:6" ht="12.75" customHeight="1" x14ac:dyDescent="0.25">
      <c r="A10" s="198" t="s">
        <v>964</v>
      </c>
      <c r="C10" s="232"/>
    </row>
    <row r="11" spans="1:6" ht="12.75" customHeight="1" x14ac:dyDescent="0.25">
      <c r="A11" s="198" t="s">
        <v>967</v>
      </c>
      <c r="C11" s="232"/>
    </row>
    <row r="12" spans="1:6" ht="12.75" customHeight="1" x14ac:dyDescent="0.25">
      <c r="C12" s="232"/>
    </row>
    <row r="13" spans="1:6" ht="12.75" customHeight="1" x14ac:dyDescent="0.25">
      <c r="C13" s="232"/>
    </row>
    <row r="14" spans="1:6" ht="12.75" customHeight="1" x14ac:dyDescent="0.25">
      <c r="A14" s="199" t="s">
        <v>2</v>
      </c>
      <c r="C14" s="232"/>
    </row>
    <row r="15" spans="1:6" ht="12.75" customHeight="1" x14ac:dyDescent="0.25">
      <c r="A15" s="199"/>
      <c r="C15" s="232"/>
    </row>
    <row r="16" spans="1:6" ht="12.75" customHeight="1" x14ac:dyDescent="0.25">
      <c r="A16" s="180" t="s">
        <v>995</v>
      </c>
      <c r="C16" s="232"/>
      <c r="F16" s="272" t="s">
        <v>994</v>
      </c>
    </row>
    <row r="17" spans="1:6" ht="12.75" customHeight="1" x14ac:dyDescent="0.25">
      <c r="A17" s="180" t="s">
        <v>966</v>
      </c>
      <c r="C17" s="272" t="s">
        <v>994</v>
      </c>
    </row>
    <row r="18" spans="1:6" ht="12.75" customHeight="1" x14ac:dyDescent="0.25">
      <c r="A18" s="224"/>
      <c r="C18" s="232"/>
    </row>
    <row r="19" spans="1:6" ht="12.75" customHeight="1" x14ac:dyDescent="0.25">
      <c r="C19" s="232"/>
    </row>
    <row r="20" spans="1:6" ht="12.75" customHeight="1" x14ac:dyDescent="0.25">
      <c r="A20" s="268" t="s">
        <v>970</v>
      </c>
      <c r="B20" s="268"/>
      <c r="C20" s="273"/>
      <c r="D20" s="268"/>
      <c r="E20" s="268"/>
      <c r="F20" s="268"/>
    </row>
    <row r="21" spans="1:6" ht="22.5" customHeight="1" x14ac:dyDescent="0.25">
      <c r="A21" s="199"/>
      <c r="C21" s="232"/>
    </row>
    <row r="22" spans="1:6" ht="12.6" customHeight="1" x14ac:dyDescent="0.25">
      <c r="A22" s="233" t="s">
        <v>990</v>
      </c>
      <c r="B22" s="234"/>
      <c r="C22" s="235"/>
      <c r="D22" s="233"/>
      <c r="E22" s="233"/>
    </row>
    <row r="23" spans="1:6" ht="12.6" customHeight="1" x14ac:dyDescent="0.25">
      <c r="B23" s="199"/>
      <c r="C23" s="232"/>
    </row>
    <row r="24" spans="1:6" ht="12.6" customHeight="1" x14ac:dyDescent="0.25">
      <c r="A24" s="236" t="s">
        <v>3</v>
      </c>
      <c r="C24" s="232"/>
    </row>
    <row r="25" spans="1:6" ht="12.6" customHeight="1" x14ac:dyDescent="0.25">
      <c r="A25" s="198" t="s">
        <v>971</v>
      </c>
      <c r="C25" s="232"/>
    </row>
    <row r="26" spans="1:6" ht="12.6" customHeight="1" x14ac:dyDescent="0.25">
      <c r="A26" s="199" t="s">
        <v>4</v>
      </c>
      <c r="C26" s="232"/>
    </row>
    <row r="27" spans="1:6" ht="12.6" customHeight="1" x14ac:dyDescent="0.25">
      <c r="A27" s="198" t="s">
        <v>972</v>
      </c>
      <c r="C27" s="232"/>
    </row>
    <row r="28" spans="1:6" ht="12.6" customHeight="1" x14ac:dyDescent="0.25">
      <c r="A28" s="199" t="s">
        <v>5</v>
      </c>
      <c r="C28" s="232"/>
    </row>
    <row r="29" spans="1:6" ht="12.6" customHeight="1" x14ac:dyDescent="0.25">
      <c r="A29" s="198"/>
      <c r="C29" s="232"/>
    </row>
    <row r="30" spans="1:6" ht="12.6" customHeight="1" x14ac:dyDescent="0.25">
      <c r="A30" s="180" t="s">
        <v>6</v>
      </c>
      <c r="C30" s="232"/>
    </row>
    <row r="31" spans="1:6" ht="12.6" customHeight="1" x14ac:dyDescent="0.25">
      <c r="A31" s="199" t="s">
        <v>7</v>
      </c>
      <c r="C31" s="232"/>
    </row>
    <row r="32" spans="1:6" ht="12.6" customHeight="1" x14ac:dyDescent="0.25">
      <c r="A32" s="199" t="s">
        <v>8</v>
      </c>
      <c r="C32" s="232"/>
    </row>
    <row r="33" spans="1:83" ht="12.6" customHeight="1" x14ac:dyDescent="0.25">
      <c r="A33" s="198" t="s">
        <v>973</v>
      </c>
      <c r="C33" s="232"/>
    </row>
    <row r="34" spans="1:83" ht="12.6" customHeight="1" x14ac:dyDescent="0.25">
      <c r="A34" s="199" t="s">
        <v>9</v>
      </c>
      <c r="C34" s="232"/>
    </row>
    <row r="35" spans="1:83" ht="12.6" customHeight="1" x14ac:dyDescent="0.25">
      <c r="A35" s="199"/>
      <c r="C35" s="232"/>
    </row>
    <row r="36" spans="1:83" ht="12.6" customHeight="1" x14ac:dyDescent="0.25">
      <c r="A36" s="198" t="s">
        <v>974</v>
      </c>
      <c r="C36" s="232"/>
    </row>
    <row r="37" spans="1:83" ht="12.6" customHeight="1" x14ac:dyDescent="0.25">
      <c r="A37" s="199" t="s">
        <v>965</v>
      </c>
      <c r="C37" s="232"/>
    </row>
    <row r="38" spans="1:83" ht="12" customHeight="1" x14ac:dyDescent="0.25">
      <c r="A38" s="198"/>
      <c r="C38" s="232"/>
    </row>
    <row r="39" spans="1:83" ht="12.6" customHeight="1" x14ac:dyDescent="0.25">
      <c r="A39" s="199"/>
      <c r="C39" s="232"/>
    </row>
    <row r="40" spans="1:83" ht="12" customHeight="1" x14ac:dyDescent="0.25">
      <c r="A40" s="199"/>
      <c r="C40" s="232"/>
    </row>
    <row r="41" spans="1:83" ht="12" customHeight="1" x14ac:dyDescent="0.25">
      <c r="A41" s="199"/>
      <c r="C41" s="237"/>
      <c r="D41" s="238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237"/>
      <c r="BB41" s="237"/>
      <c r="BC41" s="237"/>
      <c r="BD41" s="237"/>
      <c r="BE41" s="237"/>
      <c r="BF41" s="237"/>
      <c r="BG41" s="237"/>
      <c r="BH41" s="237"/>
      <c r="BI41" s="237"/>
      <c r="BJ41" s="237"/>
      <c r="BK41" s="237"/>
      <c r="BL41" s="237"/>
      <c r="BM41" s="237"/>
      <c r="BN41" s="237"/>
      <c r="BO41" s="237"/>
      <c r="BP41" s="237"/>
      <c r="BQ41" s="237"/>
      <c r="BR41" s="237"/>
      <c r="BS41" s="237"/>
      <c r="BT41" s="237"/>
      <c r="BU41" s="237"/>
      <c r="BV41" s="237"/>
      <c r="BW41" s="237"/>
      <c r="BX41" s="237"/>
      <c r="BY41" s="237"/>
      <c r="BZ41" s="237"/>
      <c r="CA41" s="237"/>
      <c r="CB41" s="237"/>
      <c r="CC41" s="237"/>
    </row>
    <row r="42" spans="1:83" ht="12" customHeight="1" x14ac:dyDescent="0.25">
      <c r="A42" s="199"/>
      <c r="C42" s="237"/>
      <c r="D42" s="238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  <c r="AZ42" s="237"/>
      <c r="BA42" s="237"/>
      <c r="BB42" s="237"/>
      <c r="BC42" s="237"/>
      <c r="BD42" s="237"/>
      <c r="BE42" s="237"/>
      <c r="BF42" s="237"/>
      <c r="BG42" s="237"/>
      <c r="BH42" s="237"/>
      <c r="BI42" s="237"/>
      <c r="BJ42" s="237"/>
      <c r="BK42" s="237"/>
      <c r="BL42" s="237"/>
      <c r="BM42" s="237"/>
      <c r="BN42" s="237"/>
      <c r="BO42" s="237"/>
      <c r="BP42" s="237"/>
      <c r="BQ42" s="237"/>
      <c r="BR42" s="237"/>
      <c r="BS42" s="237"/>
      <c r="BT42" s="237"/>
      <c r="BU42" s="237"/>
      <c r="BV42" s="237"/>
      <c r="BW42" s="237"/>
      <c r="BX42" s="237"/>
      <c r="BY42" s="237"/>
      <c r="BZ42" s="237"/>
      <c r="CA42" s="237"/>
      <c r="CB42" s="237"/>
      <c r="CC42" s="237"/>
      <c r="CD42" s="239"/>
    </row>
    <row r="43" spans="1:83" ht="12" customHeight="1" x14ac:dyDescent="0.25">
      <c r="A43" s="199"/>
      <c r="C43" s="232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0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930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4379628</v>
      </c>
      <c r="C48" s="241">
        <f>ROUND(((B48/CE61)*C61),0)</f>
        <v>0</v>
      </c>
      <c r="D48" s="241">
        <f>ROUND(((B48/CE61)*D61),0)</f>
        <v>0</v>
      </c>
      <c r="E48" s="195">
        <f>ROUND(((B48/CE61)*E61),0)</f>
        <v>577326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558245</v>
      </c>
      <c r="Q48" s="195">
        <f>ROUND(((B48/CE61)*Q61),0)</f>
        <v>72107</v>
      </c>
      <c r="R48" s="195">
        <f>ROUND(((B48/CE61)*R61),0)</f>
        <v>604209</v>
      </c>
      <c r="S48" s="195">
        <f>ROUND(((B48/CE61)*S61),0)</f>
        <v>35632</v>
      </c>
      <c r="T48" s="195">
        <f>ROUND(((B48/CE61)*T61),0)</f>
        <v>0</v>
      </c>
      <c r="U48" s="195">
        <f>ROUND(((B48/CE61)*U61),0)</f>
        <v>34587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107111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85913</v>
      </c>
      <c r="AC48" s="195">
        <f>ROUND(((B48/CE61)*AC61),0)</f>
        <v>105467</v>
      </c>
      <c r="AD48" s="195">
        <f>ROUND(((B48/CE61)*AD61),0)</f>
        <v>0</v>
      </c>
      <c r="AE48" s="195">
        <f>ROUND(((B48/CE61)*AE61),0)</f>
        <v>125053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214739</v>
      </c>
      <c r="AK48" s="195">
        <f>ROUND(((B48/CE61)*AK61),0)</f>
        <v>211234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77746</v>
      </c>
      <c r="BA48" s="195">
        <f>ROUND(((B48/CE61)*BA61),0)</f>
        <v>0</v>
      </c>
      <c r="BB48" s="195">
        <f>ROUND(((B48/CE61)*BB61),0)</f>
        <v>182323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102754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825266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149394</v>
      </c>
      <c r="BR48" s="195">
        <f>ROUND(((B48/CE61)*BR61),0)</f>
        <v>42755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55898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211868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4379627</v>
      </c>
    </row>
    <row r="49" spans="1:84" ht="12.6" customHeight="1" x14ac:dyDescent="0.25">
      <c r="A49" s="175" t="s">
        <v>206</v>
      </c>
      <c r="B49" s="195">
        <f>B47+B48</f>
        <v>4379628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1019531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185510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46966</v>
      </c>
      <c r="Q52" s="195">
        <f>ROUND((B52/(CE76+CF76)*Q76),0)</f>
        <v>16199</v>
      </c>
      <c r="R52" s="195">
        <f>ROUND((B52/(CE76+CF76)*R76),0)</f>
        <v>6078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5296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37006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3447</v>
      </c>
      <c r="AC52" s="195">
        <f>ROUND((B52/(CE76+CF76)*AC76),0)</f>
        <v>1183</v>
      </c>
      <c r="AD52" s="195">
        <f>ROUND((B52/(CE76+CF76)*AD76),0)</f>
        <v>0</v>
      </c>
      <c r="AE52" s="195">
        <f>ROUND((B52/(CE76+CF76)*AE76),0)</f>
        <v>59983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101986</v>
      </c>
      <c r="AK52" s="195">
        <f>ROUND((B52/(CE76+CF76)*AK76),0)</f>
        <v>94002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50608</v>
      </c>
      <c r="AZ52" s="195">
        <f>ROUND((B52/(CE76+CF76)*AZ76),0)</f>
        <v>16532</v>
      </c>
      <c r="BA52" s="195">
        <f>ROUND((B52/(CE76+CF76)*BA76),0)</f>
        <v>18543</v>
      </c>
      <c r="BB52" s="195">
        <f>ROUND((B52/(CE76+CF76)*BB76),0)</f>
        <v>21909</v>
      </c>
      <c r="BC52" s="195">
        <f>ROUND((B52/(CE76+CF76)*BC76),0)</f>
        <v>0</v>
      </c>
      <c r="BD52" s="195">
        <f>ROUND((B52/(CE76+CF76)*BD76),0)</f>
        <v>2815</v>
      </c>
      <c r="BE52" s="195">
        <f>ROUND((B52/(CE76+CF76)*BE76),0)</f>
        <v>96414</v>
      </c>
      <c r="BF52" s="195">
        <f>ROUND((B52/(CE76+CF76)*BF76),0)</f>
        <v>8295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153904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4756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12190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14763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61144</v>
      </c>
      <c r="CD52" s="195"/>
      <c r="CE52" s="195">
        <f>SUM(C52:CD52)</f>
        <v>1019529</v>
      </c>
    </row>
    <row r="53" spans="1:84" ht="12.6" customHeight="1" x14ac:dyDescent="0.25">
      <c r="A53" s="175" t="s">
        <v>206</v>
      </c>
      <c r="B53" s="195">
        <f>B51+B52</f>
        <v>1019531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2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930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0" t="s">
        <v>220</v>
      </c>
      <c r="S58" s="243" t="s">
        <v>221</v>
      </c>
      <c r="T58" s="243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3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948</v>
      </c>
      <c r="AU58" s="170" t="s">
        <v>228</v>
      </c>
      <c r="AV58" s="243" t="s">
        <v>221</v>
      </c>
      <c r="AW58" s="243" t="s">
        <v>221</v>
      </c>
      <c r="AX58" s="243" t="s">
        <v>221</v>
      </c>
      <c r="AY58" s="170" t="s">
        <v>231</v>
      </c>
      <c r="AZ58" s="170" t="s">
        <v>231</v>
      </c>
      <c r="BA58" s="243" t="s">
        <v>221</v>
      </c>
      <c r="BB58" s="243" t="s">
        <v>221</v>
      </c>
      <c r="BC58" s="243" t="s">
        <v>221</v>
      </c>
      <c r="BD58" s="243" t="s">
        <v>221</v>
      </c>
      <c r="BE58" s="170" t="s">
        <v>232</v>
      </c>
      <c r="BF58" s="243" t="s">
        <v>221</v>
      </c>
      <c r="BG58" s="243" t="s">
        <v>221</v>
      </c>
      <c r="BH58" s="243" t="s">
        <v>221</v>
      </c>
      <c r="BI58" s="243" t="s">
        <v>221</v>
      </c>
      <c r="BJ58" s="243" t="s">
        <v>221</v>
      </c>
      <c r="BK58" s="243" t="s">
        <v>221</v>
      </c>
      <c r="BL58" s="243" t="s">
        <v>221</v>
      </c>
      <c r="BM58" s="243" t="s">
        <v>221</v>
      </c>
      <c r="BN58" s="243" t="s">
        <v>221</v>
      </c>
      <c r="BO58" s="243" t="s">
        <v>221</v>
      </c>
      <c r="BP58" s="243" t="s">
        <v>221</v>
      </c>
      <c r="BQ58" s="243" t="s">
        <v>221</v>
      </c>
      <c r="BR58" s="243" t="s">
        <v>221</v>
      </c>
      <c r="BS58" s="243" t="s">
        <v>221</v>
      </c>
      <c r="BT58" s="243" t="s">
        <v>221</v>
      </c>
      <c r="BU58" s="243" t="s">
        <v>221</v>
      </c>
      <c r="BV58" s="243" t="s">
        <v>221</v>
      </c>
      <c r="BW58" s="243" t="s">
        <v>221</v>
      </c>
      <c r="BX58" s="243" t="s">
        <v>221</v>
      </c>
      <c r="BY58" s="243" t="s">
        <v>221</v>
      </c>
      <c r="BZ58" s="243" t="s">
        <v>221</v>
      </c>
      <c r="CA58" s="243" t="s">
        <v>221</v>
      </c>
      <c r="CB58" s="243" t="s">
        <v>221</v>
      </c>
      <c r="CC58" s="243" t="s">
        <v>221</v>
      </c>
      <c r="CD58" s="243" t="s">
        <v>221</v>
      </c>
      <c r="CE58" s="243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>
        <v>619</v>
      </c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5"/>
      <c r="Q59" s="185"/>
      <c r="R59" s="185"/>
      <c r="S59" s="244"/>
      <c r="T59" s="244"/>
      <c r="U59" s="220"/>
      <c r="V59" s="185"/>
      <c r="W59" s="185"/>
      <c r="X59" s="185"/>
      <c r="Y59" s="185"/>
      <c r="Z59" s="185"/>
      <c r="AA59" s="185"/>
      <c r="AB59" s="244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4"/>
      <c r="AW59" s="244"/>
      <c r="AX59" s="244"/>
      <c r="AY59" s="185">
        <v>3493</v>
      </c>
      <c r="AZ59" s="185">
        <v>11034</v>
      </c>
      <c r="BA59" s="244"/>
      <c r="BB59" s="244"/>
      <c r="BC59" s="244"/>
      <c r="BD59" s="244"/>
      <c r="BE59" s="185">
        <v>88741</v>
      </c>
      <c r="BF59" s="244"/>
      <c r="BG59" s="244"/>
      <c r="BH59" s="244"/>
      <c r="BI59" s="244"/>
      <c r="BJ59" s="244"/>
      <c r="BK59" s="244"/>
      <c r="BL59" s="244"/>
      <c r="BM59" s="244"/>
      <c r="BN59" s="244"/>
      <c r="BO59" s="244"/>
      <c r="BP59" s="244"/>
      <c r="BQ59" s="244"/>
      <c r="BR59" s="244"/>
      <c r="BS59" s="244"/>
      <c r="BT59" s="244"/>
      <c r="BU59" s="244"/>
      <c r="BV59" s="244"/>
      <c r="BW59" s="244"/>
      <c r="BX59" s="244"/>
      <c r="BY59" s="244"/>
      <c r="BZ59" s="244"/>
      <c r="CA59" s="244"/>
      <c r="CB59" s="244"/>
      <c r="CC59" s="244"/>
      <c r="CD59" s="245"/>
      <c r="CE59" s="195"/>
    </row>
    <row r="60" spans="1:84" ht="12.6" customHeight="1" x14ac:dyDescent="0.25">
      <c r="A60" s="246" t="s">
        <v>234</v>
      </c>
      <c r="B60" s="175"/>
      <c r="C60" s="186"/>
      <c r="D60" s="187"/>
      <c r="E60" s="187">
        <v>18.37</v>
      </c>
      <c r="F60" s="219"/>
      <c r="G60" s="187"/>
      <c r="H60" s="187"/>
      <c r="I60" s="187"/>
      <c r="J60" s="219"/>
      <c r="K60" s="187"/>
      <c r="L60" s="187"/>
      <c r="M60" s="187"/>
      <c r="N60" s="187"/>
      <c r="O60" s="187"/>
      <c r="P60" s="217">
        <v>8.06</v>
      </c>
      <c r="Q60" s="217">
        <v>2.3199999999999998</v>
      </c>
      <c r="R60" s="217">
        <v>4.95</v>
      </c>
      <c r="S60" s="217"/>
      <c r="T60" s="217"/>
      <c r="U60" s="217">
        <v>1.22</v>
      </c>
      <c r="V60" s="217"/>
      <c r="W60" s="217"/>
      <c r="X60" s="217"/>
      <c r="Y60" s="217">
        <v>4.84</v>
      </c>
      <c r="Z60" s="217"/>
      <c r="AA60" s="217"/>
      <c r="AB60" s="217">
        <v>1.75</v>
      </c>
      <c r="AC60" s="217">
        <v>3.89</v>
      </c>
      <c r="AD60" s="217"/>
      <c r="AE60" s="217">
        <v>4.45</v>
      </c>
      <c r="AF60" s="217"/>
      <c r="AG60" s="217"/>
      <c r="AH60" s="217"/>
      <c r="AI60" s="217"/>
      <c r="AJ60" s="217">
        <v>10.66</v>
      </c>
      <c r="AK60" s="217">
        <v>7.49</v>
      </c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  <c r="AW60" s="217"/>
      <c r="AX60" s="217"/>
      <c r="AY60" s="217"/>
      <c r="AZ60" s="217"/>
      <c r="BA60" s="217"/>
      <c r="BB60" s="217"/>
      <c r="BC60" s="217"/>
      <c r="BD60" s="217"/>
      <c r="BE60" s="217"/>
      <c r="BF60" s="217"/>
      <c r="BG60" s="217"/>
      <c r="BH60" s="217"/>
      <c r="BI60" s="217"/>
      <c r="BJ60" s="217"/>
      <c r="BK60" s="217"/>
      <c r="BL60" s="217"/>
      <c r="BM60" s="217"/>
      <c r="BN60" s="217"/>
      <c r="BO60" s="217"/>
      <c r="BP60" s="217"/>
      <c r="BQ60" s="217"/>
      <c r="BR60" s="217"/>
      <c r="BS60" s="217"/>
      <c r="BT60" s="217"/>
      <c r="BU60" s="217"/>
      <c r="BV60" s="217"/>
      <c r="BW60" s="217"/>
      <c r="BX60" s="217"/>
      <c r="BY60" s="217"/>
      <c r="BZ60" s="217"/>
      <c r="CA60" s="217"/>
      <c r="CB60" s="217"/>
      <c r="CC60" s="217"/>
      <c r="CD60" s="245" t="s">
        <v>221</v>
      </c>
      <c r="CE60" s="247">
        <f t="shared" ref="CE60:CE70" si="0">SUM(C60:CD60)</f>
        <v>68</v>
      </c>
    </row>
    <row r="61" spans="1:84" ht="12.6" customHeight="1" x14ac:dyDescent="0.25">
      <c r="A61" s="171" t="s">
        <v>235</v>
      </c>
      <c r="B61" s="175"/>
      <c r="C61" s="184"/>
      <c r="D61" s="184"/>
      <c r="E61" s="184">
        <v>1787481</v>
      </c>
      <c r="F61" s="185"/>
      <c r="G61" s="184"/>
      <c r="H61" s="184"/>
      <c r="I61" s="185"/>
      <c r="J61" s="185"/>
      <c r="K61" s="185"/>
      <c r="L61" s="185"/>
      <c r="M61" s="184"/>
      <c r="N61" s="184"/>
      <c r="O61" s="184"/>
      <c r="P61" s="185">
        <v>1728404</v>
      </c>
      <c r="Q61" s="185">
        <v>223254</v>
      </c>
      <c r="R61" s="185">
        <v>1870714</v>
      </c>
      <c r="S61" s="185">
        <v>110323</v>
      </c>
      <c r="T61" s="185"/>
      <c r="U61" s="185">
        <v>107087</v>
      </c>
      <c r="V61" s="185"/>
      <c r="W61" s="185"/>
      <c r="X61" s="185">
        <v>0</v>
      </c>
      <c r="Y61" s="185">
        <v>331629</v>
      </c>
      <c r="Z61" s="185"/>
      <c r="AA61" s="185"/>
      <c r="AB61" s="185">
        <v>265999</v>
      </c>
      <c r="AC61" s="185">
        <v>326541</v>
      </c>
      <c r="AD61" s="185"/>
      <c r="AE61" s="185">
        <v>387182</v>
      </c>
      <c r="AF61" s="185"/>
      <c r="AG61" s="185"/>
      <c r="AH61" s="185"/>
      <c r="AI61" s="185"/>
      <c r="AJ61" s="185">
        <v>664862</v>
      </c>
      <c r="AK61" s="185">
        <v>654009</v>
      </c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/>
      <c r="AZ61" s="185">
        <v>240712</v>
      </c>
      <c r="BA61" s="185">
        <v>0</v>
      </c>
      <c r="BB61" s="185">
        <v>564496</v>
      </c>
      <c r="BC61" s="185"/>
      <c r="BD61" s="185"/>
      <c r="BE61" s="185"/>
      <c r="BF61" s="185">
        <v>318139</v>
      </c>
      <c r="BG61" s="185"/>
      <c r="BH61" s="185"/>
      <c r="BI61" s="185"/>
      <c r="BJ61" s="185"/>
      <c r="BK61" s="185"/>
      <c r="BL61" s="185"/>
      <c r="BM61" s="185"/>
      <c r="BN61" s="185">
        <v>2555137</v>
      </c>
      <c r="BO61" s="185"/>
      <c r="BP61" s="185"/>
      <c r="BQ61" s="185">
        <v>462543</v>
      </c>
      <c r="BR61" s="185">
        <v>132374</v>
      </c>
      <c r="BS61" s="185"/>
      <c r="BT61" s="185"/>
      <c r="BU61" s="185">
        <v>0</v>
      </c>
      <c r="BV61" s="185">
        <v>173067</v>
      </c>
      <c r="BW61" s="185"/>
      <c r="BX61" s="185"/>
      <c r="BY61" s="185">
        <v>655972</v>
      </c>
      <c r="BZ61" s="185"/>
      <c r="CA61" s="185"/>
      <c r="CB61" s="185"/>
      <c r="CC61" s="185">
        <v>0</v>
      </c>
      <c r="CD61" s="245" t="s">
        <v>221</v>
      </c>
      <c r="CE61" s="195">
        <f t="shared" si="0"/>
        <v>13559925</v>
      </c>
      <c r="CF61" s="248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577326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558245</v>
      </c>
      <c r="Q62" s="195">
        <f t="shared" si="1"/>
        <v>72107</v>
      </c>
      <c r="R62" s="195">
        <f t="shared" si="1"/>
        <v>604209</v>
      </c>
      <c r="S62" s="195">
        <f t="shared" si="1"/>
        <v>35632</v>
      </c>
      <c r="T62" s="195">
        <f t="shared" si="1"/>
        <v>0</v>
      </c>
      <c r="U62" s="195">
        <f t="shared" si="1"/>
        <v>34587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107111</v>
      </c>
      <c r="Z62" s="195">
        <f t="shared" si="1"/>
        <v>0</v>
      </c>
      <c r="AA62" s="195">
        <f t="shared" si="1"/>
        <v>0</v>
      </c>
      <c r="AB62" s="195">
        <f t="shared" si="1"/>
        <v>85913</v>
      </c>
      <c r="AC62" s="195">
        <f t="shared" si="1"/>
        <v>105467</v>
      </c>
      <c r="AD62" s="195">
        <f t="shared" si="1"/>
        <v>0</v>
      </c>
      <c r="AE62" s="195">
        <f t="shared" si="1"/>
        <v>125053</v>
      </c>
      <c r="AF62" s="195">
        <f t="shared" si="1"/>
        <v>0</v>
      </c>
      <c r="AG62" s="195">
        <f t="shared" si="1"/>
        <v>0</v>
      </c>
      <c r="AH62" s="195">
        <f t="shared" si="1"/>
        <v>0</v>
      </c>
      <c r="AI62" s="195">
        <f t="shared" si="1"/>
        <v>0</v>
      </c>
      <c r="AJ62" s="195">
        <f t="shared" si="1"/>
        <v>214739</v>
      </c>
      <c r="AK62" s="195">
        <f t="shared" si="1"/>
        <v>211234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0</v>
      </c>
      <c r="AZ62" s="195">
        <f>ROUND(AZ47+AZ48,0)</f>
        <v>77746</v>
      </c>
      <c r="BA62" s="195">
        <f>ROUND(BA47+BA48,0)</f>
        <v>0</v>
      </c>
      <c r="BB62" s="195">
        <f t="shared" si="1"/>
        <v>182323</v>
      </c>
      <c r="BC62" s="195">
        <f t="shared" si="1"/>
        <v>0</v>
      </c>
      <c r="BD62" s="195">
        <f t="shared" si="1"/>
        <v>0</v>
      </c>
      <c r="BE62" s="195">
        <f t="shared" si="1"/>
        <v>0</v>
      </c>
      <c r="BF62" s="195">
        <f t="shared" si="1"/>
        <v>102754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825266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149394</v>
      </c>
      <c r="BR62" s="195">
        <f t="shared" si="2"/>
        <v>42755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55898</v>
      </c>
      <c r="BW62" s="195">
        <f t="shared" si="2"/>
        <v>0</v>
      </c>
      <c r="BX62" s="195">
        <f t="shared" si="2"/>
        <v>0</v>
      </c>
      <c r="BY62" s="195">
        <f t="shared" si="2"/>
        <v>211868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0</v>
      </c>
      <c r="CD62" s="245" t="s">
        <v>221</v>
      </c>
      <c r="CE62" s="195">
        <f t="shared" si="0"/>
        <v>4379627</v>
      </c>
      <c r="CF62" s="248"/>
    </row>
    <row r="63" spans="1:84" ht="12.6" customHeight="1" x14ac:dyDescent="0.25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45" t="s">
        <v>221</v>
      </c>
      <c r="CE63" s="195">
        <f t="shared" si="0"/>
        <v>0</v>
      </c>
      <c r="CF63" s="248"/>
    </row>
    <row r="64" spans="1:84" ht="12.6" customHeight="1" x14ac:dyDescent="0.25">
      <c r="A64" s="171" t="s">
        <v>237</v>
      </c>
      <c r="B64" s="175"/>
      <c r="C64" s="184"/>
      <c r="D64" s="184"/>
      <c r="E64" s="185">
        <v>1</v>
      </c>
      <c r="F64" s="185"/>
      <c r="G64" s="184"/>
      <c r="H64" s="184"/>
      <c r="I64" s="185"/>
      <c r="J64" s="185"/>
      <c r="K64" s="185"/>
      <c r="L64" s="185"/>
      <c r="M64" s="184"/>
      <c r="N64" s="184"/>
      <c r="O64" s="184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/>
      <c r="AZ64" s="185"/>
      <c r="BA64" s="185"/>
      <c r="BB64" s="185"/>
      <c r="BC64" s="185"/>
      <c r="BD64" s="185"/>
      <c r="BE64" s="185"/>
      <c r="BF64" s="185"/>
      <c r="BG64" s="185"/>
      <c r="BH64" s="185"/>
      <c r="BI64" s="185"/>
      <c r="BJ64" s="185"/>
      <c r="BK64" s="185"/>
      <c r="BL64" s="185"/>
      <c r="BM64" s="185"/>
      <c r="BN64" s="185"/>
      <c r="BO64" s="185"/>
      <c r="BP64" s="185"/>
      <c r="BQ64" s="185"/>
      <c r="BR64" s="185"/>
      <c r="BS64" s="185"/>
      <c r="BT64" s="185"/>
      <c r="BU64" s="185"/>
      <c r="BV64" s="185"/>
      <c r="BW64" s="185"/>
      <c r="BX64" s="185"/>
      <c r="BY64" s="185"/>
      <c r="BZ64" s="185"/>
      <c r="CA64" s="185"/>
      <c r="CB64" s="185"/>
      <c r="CC64" s="185"/>
      <c r="CD64" s="245" t="s">
        <v>221</v>
      </c>
      <c r="CE64" s="195">
        <f t="shared" si="0"/>
        <v>1</v>
      </c>
      <c r="CF64" s="248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/>
      <c r="BF65" s="185"/>
      <c r="BG65" s="185"/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45" t="s">
        <v>221</v>
      </c>
      <c r="CE65" s="195">
        <f t="shared" si="0"/>
        <v>0</v>
      </c>
      <c r="CF65" s="248"/>
    </row>
    <row r="66" spans="1:84" ht="12.6" customHeight="1" x14ac:dyDescent="0.25">
      <c r="A66" s="171" t="s">
        <v>239</v>
      </c>
      <c r="B66" s="175"/>
      <c r="C66" s="184"/>
      <c r="D66" s="184"/>
      <c r="E66" s="184"/>
      <c r="F66" s="184"/>
      <c r="G66" s="184"/>
      <c r="H66" s="184"/>
      <c r="I66" s="184"/>
      <c r="J66" s="184"/>
      <c r="K66" s="185"/>
      <c r="L66" s="185"/>
      <c r="M66" s="184"/>
      <c r="N66" s="184"/>
      <c r="O66" s="185"/>
      <c r="P66" s="185"/>
      <c r="Q66" s="185"/>
      <c r="R66" s="185"/>
      <c r="S66" s="184"/>
      <c r="T66" s="184"/>
      <c r="U66" s="185"/>
      <c r="V66" s="185"/>
      <c r="W66" s="185"/>
      <c r="X66" s="185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/>
      <c r="AZ66" s="185"/>
      <c r="BA66" s="185"/>
      <c r="BB66" s="185"/>
      <c r="BC66" s="185"/>
      <c r="BD66" s="185"/>
      <c r="BE66" s="185"/>
      <c r="BF66" s="185"/>
      <c r="BG66" s="185"/>
      <c r="BH66" s="185"/>
      <c r="BI66" s="185"/>
      <c r="BJ66" s="185"/>
      <c r="BK66" s="185"/>
      <c r="BL66" s="185"/>
      <c r="BM66" s="185"/>
      <c r="BN66" s="185"/>
      <c r="BO66" s="185"/>
      <c r="BP66" s="185"/>
      <c r="BQ66" s="185"/>
      <c r="BR66" s="185"/>
      <c r="BS66" s="185"/>
      <c r="BT66" s="185"/>
      <c r="BU66" s="185"/>
      <c r="BV66" s="185"/>
      <c r="BW66" s="185"/>
      <c r="BX66" s="185"/>
      <c r="BY66" s="185"/>
      <c r="BZ66" s="185"/>
      <c r="CA66" s="185"/>
      <c r="CB66" s="185"/>
      <c r="CC66" s="185"/>
      <c r="CD66" s="245" t="s">
        <v>221</v>
      </c>
      <c r="CE66" s="195">
        <f t="shared" si="0"/>
        <v>0</v>
      </c>
      <c r="CF66" s="248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185510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46966</v>
      </c>
      <c r="Q67" s="195">
        <f t="shared" si="3"/>
        <v>16199</v>
      </c>
      <c r="R67" s="195">
        <f t="shared" si="3"/>
        <v>6078</v>
      </c>
      <c r="S67" s="195">
        <f t="shared" si="3"/>
        <v>0</v>
      </c>
      <c r="T67" s="195">
        <f t="shared" si="3"/>
        <v>0</v>
      </c>
      <c r="U67" s="195">
        <f t="shared" si="3"/>
        <v>5296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37006</v>
      </c>
      <c r="Z67" s="195">
        <f t="shared" si="3"/>
        <v>0</v>
      </c>
      <c r="AA67" s="195">
        <f t="shared" si="3"/>
        <v>0</v>
      </c>
      <c r="AB67" s="195">
        <f t="shared" si="3"/>
        <v>3447</v>
      </c>
      <c r="AC67" s="195">
        <f t="shared" si="3"/>
        <v>1183</v>
      </c>
      <c r="AD67" s="195">
        <f t="shared" si="3"/>
        <v>0</v>
      </c>
      <c r="AE67" s="195">
        <f t="shared" si="3"/>
        <v>59983</v>
      </c>
      <c r="AF67" s="195">
        <f t="shared" si="3"/>
        <v>0</v>
      </c>
      <c r="AG67" s="195">
        <f t="shared" si="3"/>
        <v>0</v>
      </c>
      <c r="AH67" s="195">
        <f t="shared" si="3"/>
        <v>0</v>
      </c>
      <c r="AI67" s="195">
        <f t="shared" si="3"/>
        <v>0</v>
      </c>
      <c r="AJ67" s="195">
        <f t="shared" si="3"/>
        <v>101986</v>
      </c>
      <c r="AK67" s="195">
        <f t="shared" si="3"/>
        <v>94002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50608</v>
      </c>
      <c r="AZ67" s="195">
        <f>ROUND(AZ51+AZ52,0)</f>
        <v>16532</v>
      </c>
      <c r="BA67" s="195">
        <f>ROUND(BA51+BA52,0)</f>
        <v>18543</v>
      </c>
      <c r="BB67" s="195">
        <f t="shared" si="3"/>
        <v>21909</v>
      </c>
      <c r="BC67" s="195">
        <f t="shared" si="3"/>
        <v>0</v>
      </c>
      <c r="BD67" s="195">
        <f t="shared" si="3"/>
        <v>2815</v>
      </c>
      <c r="BE67" s="195">
        <f t="shared" si="3"/>
        <v>96414</v>
      </c>
      <c r="BF67" s="195">
        <f t="shared" si="3"/>
        <v>8295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153904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4756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12190</v>
      </c>
      <c r="BW67" s="195">
        <f t="shared" si="4"/>
        <v>0</v>
      </c>
      <c r="BX67" s="195">
        <f t="shared" si="4"/>
        <v>0</v>
      </c>
      <c r="BY67" s="195">
        <f t="shared" si="4"/>
        <v>14763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61144</v>
      </c>
      <c r="CD67" s="245" t="s">
        <v>221</v>
      </c>
      <c r="CE67" s="195">
        <f t="shared" si="0"/>
        <v>1019529</v>
      </c>
      <c r="CF67" s="248"/>
    </row>
    <row r="68" spans="1:84" ht="12.6" customHeight="1" x14ac:dyDescent="0.25">
      <c r="A68" s="171" t="s">
        <v>240</v>
      </c>
      <c r="B68" s="175"/>
      <c r="C68" s="184"/>
      <c r="D68" s="184"/>
      <c r="E68" s="184"/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/>
      <c r="BF68" s="185"/>
      <c r="BG68" s="185"/>
      <c r="BH68" s="185"/>
      <c r="BI68" s="185"/>
      <c r="BJ68" s="185"/>
      <c r="BK68" s="185"/>
      <c r="BL68" s="185"/>
      <c r="BM68" s="185"/>
      <c r="BN68" s="185"/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45" t="s">
        <v>221</v>
      </c>
      <c r="CE68" s="195">
        <f t="shared" si="0"/>
        <v>0</v>
      </c>
      <c r="CF68" s="248"/>
    </row>
    <row r="69" spans="1:84" ht="12.6" customHeight="1" x14ac:dyDescent="0.25">
      <c r="A69" s="171" t="s">
        <v>241</v>
      </c>
      <c r="B69" s="175"/>
      <c r="C69" s="184"/>
      <c r="D69" s="184"/>
      <c r="E69" s="185"/>
      <c r="F69" s="185"/>
      <c r="G69" s="184"/>
      <c r="H69" s="184"/>
      <c r="I69" s="185"/>
      <c r="J69" s="185"/>
      <c r="K69" s="185"/>
      <c r="L69" s="185"/>
      <c r="M69" s="184"/>
      <c r="N69" s="184"/>
      <c r="O69" s="184"/>
      <c r="P69" s="185"/>
      <c r="Q69" s="185"/>
      <c r="R69" s="220"/>
      <c r="S69" s="185"/>
      <c r="T69" s="184"/>
      <c r="U69" s="185"/>
      <c r="V69" s="185"/>
      <c r="W69" s="184"/>
      <c r="X69" s="185"/>
      <c r="Y69" s="185"/>
      <c r="Z69" s="185"/>
      <c r="AA69" s="185"/>
      <c r="AB69" s="185"/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/>
      <c r="AW69" s="185"/>
      <c r="AX69" s="185"/>
      <c r="AY69" s="185"/>
      <c r="AZ69" s="185"/>
      <c r="BA69" s="185"/>
      <c r="BB69" s="185"/>
      <c r="BC69" s="185"/>
      <c r="BD69" s="185"/>
      <c r="BE69" s="185"/>
      <c r="BF69" s="185"/>
      <c r="BG69" s="185"/>
      <c r="BH69" s="220"/>
      <c r="BI69" s="185"/>
      <c r="BJ69" s="185"/>
      <c r="BK69" s="185"/>
      <c r="BL69" s="185"/>
      <c r="BM69" s="185"/>
      <c r="BN69" s="185"/>
      <c r="BO69" s="185"/>
      <c r="BP69" s="185"/>
      <c r="BQ69" s="185"/>
      <c r="BR69" s="185"/>
      <c r="BS69" s="185"/>
      <c r="BT69" s="185"/>
      <c r="BU69" s="185"/>
      <c r="BV69" s="185"/>
      <c r="BW69" s="185"/>
      <c r="BX69" s="185"/>
      <c r="BY69" s="185"/>
      <c r="BZ69" s="185"/>
      <c r="CA69" s="185"/>
      <c r="CB69" s="185"/>
      <c r="CC69" s="185"/>
      <c r="CD69" s="188"/>
      <c r="CE69" s="195">
        <f t="shared" si="0"/>
        <v>0</v>
      </c>
      <c r="CF69" s="248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276">
        <v>1869733</v>
      </c>
      <c r="CE70" s="195">
        <f t="shared" si="0"/>
        <v>1869733</v>
      </c>
      <c r="CF70" s="248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2550318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2333615</v>
      </c>
      <c r="Q71" s="195">
        <f t="shared" si="5"/>
        <v>311560</v>
      </c>
      <c r="R71" s="195">
        <f t="shared" si="5"/>
        <v>2481001</v>
      </c>
      <c r="S71" s="195">
        <f t="shared" si="5"/>
        <v>145955</v>
      </c>
      <c r="T71" s="195">
        <f t="shared" si="5"/>
        <v>0</v>
      </c>
      <c r="U71" s="195">
        <f t="shared" si="5"/>
        <v>146970</v>
      </c>
      <c r="V71" s="195">
        <f t="shared" si="5"/>
        <v>0</v>
      </c>
      <c r="W71" s="195">
        <f t="shared" si="5"/>
        <v>0</v>
      </c>
      <c r="X71" s="195">
        <f t="shared" si="5"/>
        <v>0</v>
      </c>
      <c r="Y71" s="195">
        <f t="shared" si="5"/>
        <v>475746</v>
      </c>
      <c r="Z71" s="195">
        <f t="shared" si="5"/>
        <v>0</v>
      </c>
      <c r="AA71" s="195">
        <f t="shared" si="5"/>
        <v>0</v>
      </c>
      <c r="AB71" s="195">
        <f t="shared" si="5"/>
        <v>355359</v>
      </c>
      <c r="AC71" s="195">
        <f t="shared" si="5"/>
        <v>433191</v>
      </c>
      <c r="AD71" s="195">
        <f t="shared" si="5"/>
        <v>0</v>
      </c>
      <c r="AE71" s="195">
        <f t="shared" si="5"/>
        <v>572218</v>
      </c>
      <c r="AF71" s="195">
        <f t="shared" si="5"/>
        <v>0</v>
      </c>
      <c r="AG71" s="195">
        <f t="shared" si="5"/>
        <v>0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981587</v>
      </c>
      <c r="AK71" s="195">
        <f t="shared" si="6"/>
        <v>959245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50608</v>
      </c>
      <c r="AZ71" s="195">
        <f t="shared" si="6"/>
        <v>334990</v>
      </c>
      <c r="BA71" s="195">
        <f t="shared" si="6"/>
        <v>18543</v>
      </c>
      <c r="BB71" s="195">
        <f t="shared" si="6"/>
        <v>768728</v>
      </c>
      <c r="BC71" s="195">
        <f t="shared" si="6"/>
        <v>0</v>
      </c>
      <c r="BD71" s="195">
        <f t="shared" si="6"/>
        <v>2815</v>
      </c>
      <c r="BE71" s="195">
        <f t="shared" si="6"/>
        <v>96414</v>
      </c>
      <c r="BF71" s="195">
        <f t="shared" si="6"/>
        <v>429188</v>
      </c>
      <c r="BG71" s="195">
        <f t="shared" si="6"/>
        <v>0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0</v>
      </c>
      <c r="BM71" s="195">
        <f t="shared" si="6"/>
        <v>0</v>
      </c>
      <c r="BN71" s="195">
        <f t="shared" si="6"/>
        <v>3534307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611937</v>
      </c>
      <c r="BR71" s="195">
        <f t="shared" si="7"/>
        <v>179885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241155</v>
      </c>
      <c r="BW71" s="195">
        <f t="shared" si="7"/>
        <v>0</v>
      </c>
      <c r="BX71" s="195">
        <f t="shared" si="7"/>
        <v>0</v>
      </c>
      <c r="BY71" s="195">
        <f t="shared" si="7"/>
        <v>882603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61144</v>
      </c>
      <c r="CD71" s="241">
        <f>CD69-CD70</f>
        <v>-1869733</v>
      </c>
      <c r="CE71" s="195">
        <f>SUM(CE61:CE69)-CE70</f>
        <v>17089349</v>
      </c>
      <c r="CF71" s="248"/>
    </row>
    <row r="72" spans="1:84" ht="12.6" customHeight="1" x14ac:dyDescent="0.25">
      <c r="A72" s="171" t="s">
        <v>244</v>
      </c>
      <c r="B72" s="175"/>
      <c r="C72" s="245" t="s">
        <v>221</v>
      </c>
      <c r="D72" s="245" t="s">
        <v>221</v>
      </c>
      <c r="E72" s="245" t="s">
        <v>221</v>
      </c>
      <c r="F72" s="245" t="s">
        <v>221</v>
      </c>
      <c r="G72" s="245" t="s">
        <v>221</v>
      </c>
      <c r="H72" s="245" t="s">
        <v>221</v>
      </c>
      <c r="I72" s="245" t="s">
        <v>221</v>
      </c>
      <c r="J72" s="245" t="s">
        <v>221</v>
      </c>
      <c r="K72" s="249" t="s">
        <v>221</v>
      </c>
      <c r="L72" s="245" t="s">
        <v>221</v>
      </c>
      <c r="M72" s="245" t="s">
        <v>221</v>
      </c>
      <c r="N72" s="245" t="s">
        <v>221</v>
      </c>
      <c r="O72" s="245" t="s">
        <v>221</v>
      </c>
      <c r="P72" s="245" t="s">
        <v>221</v>
      </c>
      <c r="Q72" s="245" t="s">
        <v>221</v>
      </c>
      <c r="R72" s="245" t="s">
        <v>221</v>
      </c>
      <c r="S72" s="245" t="s">
        <v>221</v>
      </c>
      <c r="T72" s="245" t="s">
        <v>221</v>
      </c>
      <c r="U72" s="245" t="s">
        <v>221</v>
      </c>
      <c r="V72" s="245" t="s">
        <v>221</v>
      </c>
      <c r="W72" s="245" t="s">
        <v>221</v>
      </c>
      <c r="X72" s="245" t="s">
        <v>221</v>
      </c>
      <c r="Y72" s="245" t="s">
        <v>221</v>
      </c>
      <c r="Z72" s="245" t="s">
        <v>221</v>
      </c>
      <c r="AA72" s="245" t="s">
        <v>221</v>
      </c>
      <c r="AB72" s="245" t="s">
        <v>221</v>
      </c>
      <c r="AC72" s="245" t="s">
        <v>221</v>
      </c>
      <c r="AD72" s="245" t="s">
        <v>221</v>
      </c>
      <c r="AE72" s="245" t="s">
        <v>221</v>
      </c>
      <c r="AF72" s="245" t="s">
        <v>221</v>
      </c>
      <c r="AG72" s="245" t="s">
        <v>221</v>
      </c>
      <c r="AH72" s="245" t="s">
        <v>221</v>
      </c>
      <c r="AI72" s="245" t="s">
        <v>221</v>
      </c>
      <c r="AJ72" s="245" t="s">
        <v>221</v>
      </c>
      <c r="AK72" s="245" t="s">
        <v>221</v>
      </c>
      <c r="AL72" s="245" t="s">
        <v>221</v>
      </c>
      <c r="AM72" s="245" t="s">
        <v>221</v>
      </c>
      <c r="AN72" s="245" t="s">
        <v>221</v>
      </c>
      <c r="AO72" s="245" t="s">
        <v>221</v>
      </c>
      <c r="AP72" s="245" t="s">
        <v>221</v>
      </c>
      <c r="AQ72" s="245" t="s">
        <v>221</v>
      </c>
      <c r="AR72" s="245" t="s">
        <v>221</v>
      </c>
      <c r="AS72" s="245" t="s">
        <v>221</v>
      </c>
      <c r="AT72" s="245" t="s">
        <v>221</v>
      </c>
      <c r="AU72" s="245" t="s">
        <v>221</v>
      </c>
      <c r="AV72" s="245" t="s">
        <v>221</v>
      </c>
      <c r="AW72" s="245" t="s">
        <v>221</v>
      </c>
      <c r="AX72" s="245" t="s">
        <v>221</v>
      </c>
      <c r="AY72" s="245" t="s">
        <v>221</v>
      </c>
      <c r="AZ72" s="245" t="s">
        <v>221</v>
      </c>
      <c r="BA72" s="245" t="s">
        <v>221</v>
      </c>
      <c r="BB72" s="245" t="s">
        <v>221</v>
      </c>
      <c r="BC72" s="245" t="s">
        <v>221</v>
      </c>
      <c r="BD72" s="245" t="s">
        <v>221</v>
      </c>
      <c r="BE72" s="245" t="s">
        <v>221</v>
      </c>
      <c r="BF72" s="245" t="s">
        <v>221</v>
      </c>
      <c r="BG72" s="245" t="s">
        <v>221</v>
      </c>
      <c r="BH72" s="245" t="s">
        <v>221</v>
      </c>
      <c r="BI72" s="245" t="s">
        <v>221</v>
      </c>
      <c r="BJ72" s="245" t="s">
        <v>221</v>
      </c>
      <c r="BK72" s="245" t="s">
        <v>221</v>
      </c>
      <c r="BL72" s="245" t="s">
        <v>221</v>
      </c>
      <c r="BM72" s="245" t="s">
        <v>221</v>
      </c>
      <c r="BN72" s="245" t="s">
        <v>221</v>
      </c>
      <c r="BO72" s="245" t="s">
        <v>221</v>
      </c>
      <c r="BP72" s="245" t="s">
        <v>221</v>
      </c>
      <c r="BQ72" s="245" t="s">
        <v>221</v>
      </c>
      <c r="BR72" s="245" t="s">
        <v>221</v>
      </c>
      <c r="BS72" s="245" t="s">
        <v>221</v>
      </c>
      <c r="BT72" s="245" t="s">
        <v>221</v>
      </c>
      <c r="BU72" s="245" t="s">
        <v>221</v>
      </c>
      <c r="BV72" s="245" t="s">
        <v>221</v>
      </c>
      <c r="BW72" s="245" t="s">
        <v>221</v>
      </c>
      <c r="BX72" s="245" t="s">
        <v>221</v>
      </c>
      <c r="BY72" s="245" t="s">
        <v>221</v>
      </c>
      <c r="BZ72" s="245" t="s">
        <v>221</v>
      </c>
      <c r="CA72" s="245" t="s">
        <v>221</v>
      </c>
      <c r="CB72" s="245" t="s">
        <v>221</v>
      </c>
      <c r="CC72" s="245" t="s">
        <v>221</v>
      </c>
      <c r="CD72" s="245" t="s">
        <v>221</v>
      </c>
      <c r="CE72" s="188"/>
      <c r="CF72" s="248"/>
    </row>
    <row r="73" spans="1:84" ht="12.6" customHeight="1" x14ac:dyDescent="0.25">
      <c r="A73" s="171" t="s">
        <v>245</v>
      </c>
      <c r="B73" s="175"/>
      <c r="C73" s="184"/>
      <c r="D73" s="184"/>
      <c r="E73" s="185">
        <v>1565126</v>
      </c>
      <c r="F73" s="185"/>
      <c r="G73" s="184"/>
      <c r="H73" s="184"/>
      <c r="I73" s="185"/>
      <c r="J73" s="185"/>
      <c r="K73" s="185"/>
      <c r="L73" s="185"/>
      <c r="M73" s="184"/>
      <c r="N73" s="184"/>
      <c r="O73" s="184"/>
      <c r="P73" s="185">
        <v>3157023</v>
      </c>
      <c r="Q73" s="185">
        <v>246683</v>
      </c>
      <c r="R73" s="185">
        <v>1015719</v>
      </c>
      <c r="S73" s="185">
        <f>342663+2631172</f>
        <v>2973835</v>
      </c>
      <c r="T73" s="185"/>
      <c r="U73" s="185">
        <v>92681</v>
      </c>
      <c r="V73" s="185"/>
      <c r="W73" s="185"/>
      <c r="X73" s="185"/>
      <c r="Y73" s="185">
        <v>142489</v>
      </c>
      <c r="Z73" s="185"/>
      <c r="AA73" s="185"/>
      <c r="AB73" s="185">
        <v>755676</v>
      </c>
      <c r="AC73" s="185">
        <v>324764</v>
      </c>
      <c r="AD73" s="185"/>
      <c r="AE73" s="185">
        <v>123287</v>
      </c>
      <c r="AF73" s="185"/>
      <c r="AG73" s="185"/>
      <c r="AH73" s="185"/>
      <c r="AI73" s="185"/>
      <c r="AJ73" s="185">
        <v>12289</v>
      </c>
      <c r="AK73" s="185">
        <v>817</v>
      </c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5" t="s">
        <v>221</v>
      </c>
      <c r="AX73" s="245" t="s">
        <v>221</v>
      </c>
      <c r="AY73" s="245" t="s">
        <v>221</v>
      </c>
      <c r="AZ73" s="245" t="s">
        <v>221</v>
      </c>
      <c r="BA73" s="245" t="s">
        <v>221</v>
      </c>
      <c r="BB73" s="245" t="s">
        <v>221</v>
      </c>
      <c r="BC73" s="245" t="s">
        <v>221</v>
      </c>
      <c r="BD73" s="245" t="s">
        <v>221</v>
      </c>
      <c r="BE73" s="245" t="s">
        <v>221</v>
      </c>
      <c r="BF73" s="245" t="s">
        <v>221</v>
      </c>
      <c r="BG73" s="245" t="s">
        <v>221</v>
      </c>
      <c r="BH73" s="245" t="s">
        <v>221</v>
      </c>
      <c r="BI73" s="245" t="s">
        <v>221</v>
      </c>
      <c r="BJ73" s="245" t="s">
        <v>221</v>
      </c>
      <c r="BK73" s="245" t="s">
        <v>221</v>
      </c>
      <c r="BL73" s="245" t="s">
        <v>221</v>
      </c>
      <c r="BM73" s="245" t="s">
        <v>221</v>
      </c>
      <c r="BN73" s="245" t="s">
        <v>221</v>
      </c>
      <c r="BO73" s="245" t="s">
        <v>221</v>
      </c>
      <c r="BP73" s="245" t="s">
        <v>221</v>
      </c>
      <c r="BQ73" s="245" t="s">
        <v>221</v>
      </c>
      <c r="BR73" s="245" t="s">
        <v>221</v>
      </c>
      <c r="BS73" s="245" t="s">
        <v>221</v>
      </c>
      <c r="BT73" s="245" t="s">
        <v>221</v>
      </c>
      <c r="BU73" s="245" t="s">
        <v>221</v>
      </c>
      <c r="BV73" s="245" t="s">
        <v>221</v>
      </c>
      <c r="BW73" s="245" t="s">
        <v>221</v>
      </c>
      <c r="BX73" s="245" t="s">
        <v>221</v>
      </c>
      <c r="BY73" s="245" t="s">
        <v>221</v>
      </c>
      <c r="BZ73" s="245" t="s">
        <v>221</v>
      </c>
      <c r="CA73" s="245" t="s">
        <v>221</v>
      </c>
      <c r="CB73" s="245" t="s">
        <v>221</v>
      </c>
      <c r="CC73" s="245" t="s">
        <v>221</v>
      </c>
      <c r="CD73" s="245" t="s">
        <v>221</v>
      </c>
      <c r="CE73" s="195">
        <f t="shared" ref="CE73:CE80" si="8">SUM(C73:CD73)</f>
        <v>10410389</v>
      </c>
      <c r="CF73" s="248"/>
    </row>
    <row r="74" spans="1:84" ht="12.6" customHeight="1" x14ac:dyDescent="0.25">
      <c r="A74" s="171" t="s">
        <v>246</v>
      </c>
      <c r="B74" s="175"/>
      <c r="C74" s="184"/>
      <c r="D74" s="184"/>
      <c r="E74" s="185">
        <v>0</v>
      </c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>
        <v>6841959</v>
      </c>
      <c r="Q74" s="185">
        <v>772476</v>
      </c>
      <c r="R74" s="185">
        <v>2630784</v>
      </c>
      <c r="S74" s="185">
        <f>155108+720745</f>
        <v>875853</v>
      </c>
      <c r="T74" s="185"/>
      <c r="U74" s="185">
        <v>76270</v>
      </c>
      <c r="V74" s="185"/>
      <c r="W74" s="185"/>
      <c r="X74" s="185"/>
      <c r="Y74" s="185">
        <v>3457182</v>
      </c>
      <c r="Z74" s="185"/>
      <c r="AA74" s="185"/>
      <c r="AB74" s="185">
        <v>860165</v>
      </c>
      <c r="AC74" s="185">
        <v>138805</v>
      </c>
      <c r="AD74" s="185"/>
      <c r="AE74" s="185">
        <v>1111497</v>
      </c>
      <c r="AF74" s="185"/>
      <c r="AG74" s="185"/>
      <c r="AH74" s="185"/>
      <c r="AI74" s="185"/>
      <c r="AJ74" s="185">
        <v>3828588</v>
      </c>
      <c r="AK74" s="185">
        <v>227999</v>
      </c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45" t="s">
        <v>221</v>
      </c>
      <c r="AX74" s="245" t="s">
        <v>221</v>
      </c>
      <c r="AY74" s="245" t="s">
        <v>221</v>
      </c>
      <c r="AZ74" s="245" t="s">
        <v>221</v>
      </c>
      <c r="BA74" s="245" t="s">
        <v>221</v>
      </c>
      <c r="BB74" s="245" t="s">
        <v>221</v>
      </c>
      <c r="BC74" s="245" t="s">
        <v>221</v>
      </c>
      <c r="BD74" s="245" t="s">
        <v>221</v>
      </c>
      <c r="BE74" s="245" t="s">
        <v>221</v>
      </c>
      <c r="BF74" s="245" t="s">
        <v>221</v>
      </c>
      <c r="BG74" s="245" t="s">
        <v>221</v>
      </c>
      <c r="BH74" s="245" t="s">
        <v>221</v>
      </c>
      <c r="BI74" s="245" t="s">
        <v>221</v>
      </c>
      <c r="BJ74" s="245" t="s">
        <v>221</v>
      </c>
      <c r="BK74" s="245" t="s">
        <v>221</v>
      </c>
      <c r="BL74" s="245" t="s">
        <v>221</v>
      </c>
      <c r="BM74" s="245" t="s">
        <v>221</v>
      </c>
      <c r="BN74" s="245" t="s">
        <v>221</v>
      </c>
      <c r="BO74" s="245" t="s">
        <v>221</v>
      </c>
      <c r="BP74" s="245" t="s">
        <v>221</v>
      </c>
      <c r="BQ74" s="245" t="s">
        <v>221</v>
      </c>
      <c r="BR74" s="245" t="s">
        <v>221</v>
      </c>
      <c r="BS74" s="245" t="s">
        <v>221</v>
      </c>
      <c r="BT74" s="245" t="s">
        <v>221</v>
      </c>
      <c r="BU74" s="245" t="s">
        <v>221</v>
      </c>
      <c r="BV74" s="245" t="s">
        <v>221</v>
      </c>
      <c r="BW74" s="245" t="s">
        <v>221</v>
      </c>
      <c r="BX74" s="245" t="s">
        <v>221</v>
      </c>
      <c r="BY74" s="245" t="s">
        <v>221</v>
      </c>
      <c r="BZ74" s="245" t="s">
        <v>221</v>
      </c>
      <c r="CA74" s="245" t="s">
        <v>221</v>
      </c>
      <c r="CB74" s="245" t="s">
        <v>221</v>
      </c>
      <c r="CC74" s="245" t="s">
        <v>221</v>
      </c>
      <c r="CD74" s="245" t="s">
        <v>221</v>
      </c>
      <c r="CE74" s="195">
        <f t="shared" si="8"/>
        <v>20821578</v>
      </c>
      <c r="CF74" s="248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1565126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9998982</v>
      </c>
      <c r="Q75" s="195">
        <f t="shared" si="9"/>
        <v>1019159</v>
      </c>
      <c r="R75" s="195">
        <f t="shared" si="9"/>
        <v>3646503</v>
      </c>
      <c r="S75" s="195">
        <f t="shared" si="9"/>
        <v>3849688</v>
      </c>
      <c r="T75" s="195">
        <f t="shared" si="9"/>
        <v>0</v>
      </c>
      <c r="U75" s="195">
        <f t="shared" si="9"/>
        <v>168951</v>
      </c>
      <c r="V75" s="195">
        <f t="shared" si="9"/>
        <v>0</v>
      </c>
      <c r="W75" s="195">
        <f t="shared" si="9"/>
        <v>0</v>
      </c>
      <c r="X75" s="195">
        <f t="shared" si="9"/>
        <v>0</v>
      </c>
      <c r="Y75" s="195">
        <f t="shared" si="9"/>
        <v>3599671</v>
      </c>
      <c r="Z75" s="195">
        <f t="shared" si="9"/>
        <v>0</v>
      </c>
      <c r="AA75" s="195">
        <f t="shared" si="9"/>
        <v>0</v>
      </c>
      <c r="AB75" s="195">
        <f t="shared" si="9"/>
        <v>1615841</v>
      </c>
      <c r="AC75" s="195">
        <f t="shared" si="9"/>
        <v>463569</v>
      </c>
      <c r="AD75" s="195">
        <f t="shared" si="9"/>
        <v>0</v>
      </c>
      <c r="AE75" s="195">
        <f t="shared" si="9"/>
        <v>1234784</v>
      </c>
      <c r="AF75" s="195">
        <f t="shared" si="9"/>
        <v>0</v>
      </c>
      <c r="AG75" s="195">
        <f t="shared" si="9"/>
        <v>0</v>
      </c>
      <c r="AH75" s="195">
        <f t="shared" si="9"/>
        <v>0</v>
      </c>
      <c r="AI75" s="195">
        <f t="shared" si="9"/>
        <v>0</v>
      </c>
      <c r="AJ75" s="195">
        <f t="shared" si="9"/>
        <v>3840877</v>
      </c>
      <c r="AK75" s="195">
        <f t="shared" si="9"/>
        <v>228816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5" t="s">
        <v>221</v>
      </c>
      <c r="AX75" s="245" t="s">
        <v>221</v>
      </c>
      <c r="AY75" s="245" t="s">
        <v>221</v>
      </c>
      <c r="AZ75" s="245" t="s">
        <v>221</v>
      </c>
      <c r="BA75" s="245" t="s">
        <v>221</v>
      </c>
      <c r="BB75" s="245" t="s">
        <v>221</v>
      </c>
      <c r="BC75" s="245" t="s">
        <v>221</v>
      </c>
      <c r="BD75" s="245" t="s">
        <v>221</v>
      </c>
      <c r="BE75" s="245" t="s">
        <v>221</v>
      </c>
      <c r="BF75" s="245" t="s">
        <v>221</v>
      </c>
      <c r="BG75" s="245" t="s">
        <v>221</v>
      </c>
      <c r="BH75" s="245" t="s">
        <v>221</v>
      </c>
      <c r="BI75" s="245" t="s">
        <v>221</v>
      </c>
      <c r="BJ75" s="245" t="s">
        <v>221</v>
      </c>
      <c r="BK75" s="245" t="s">
        <v>221</v>
      </c>
      <c r="BL75" s="245" t="s">
        <v>221</v>
      </c>
      <c r="BM75" s="245" t="s">
        <v>221</v>
      </c>
      <c r="BN75" s="245" t="s">
        <v>221</v>
      </c>
      <c r="BO75" s="245" t="s">
        <v>221</v>
      </c>
      <c r="BP75" s="245" t="s">
        <v>221</v>
      </c>
      <c r="BQ75" s="245" t="s">
        <v>221</v>
      </c>
      <c r="BR75" s="245" t="s">
        <v>221</v>
      </c>
      <c r="BS75" s="245" t="s">
        <v>221</v>
      </c>
      <c r="BT75" s="245" t="s">
        <v>221</v>
      </c>
      <c r="BU75" s="245" t="s">
        <v>221</v>
      </c>
      <c r="BV75" s="245" t="s">
        <v>221</v>
      </c>
      <c r="BW75" s="245" t="s">
        <v>221</v>
      </c>
      <c r="BX75" s="245" t="s">
        <v>221</v>
      </c>
      <c r="BY75" s="245" t="s">
        <v>221</v>
      </c>
      <c r="BZ75" s="245" t="s">
        <v>221</v>
      </c>
      <c r="CA75" s="245" t="s">
        <v>221</v>
      </c>
      <c r="CB75" s="245" t="s">
        <v>221</v>
      </c>
      <c r="CC75" s="245" t="s">
        <v>221</v>
      </c>
      <c r="CD75" s="245" t="s">
        <v>221</v>
      </c>
      <c r="CE75" s="195">
        <f t="shared" si="8"/>
        <v>31231967</v>
      </c>
      <c r="CF75" s="248"/>
    </row>
    <row r="76" spans="1:84" ht="12.6" customHeight="1" x14ac:dyDescent="0.25">
      <c r="A76" s="171" t="s">
        <v>248</v>
      </c>
      <c r="B76" s="175"/>
      <c r="C76" s="184"/>
      <c r="D76" s="184"/>
      <c r="E76" s="185">
        <v>16147</v>
      </c>
      <c r="F76" s="185"/>
      <c r="G76" s="184"/>
      <c r="H76" s="184"/>
      <c r="I76" s="185"/>
      <c r="J76" s="185"/>
      <c r="K76" s="185"/>
      <c r="L76" s="185"/>
      <c r="M76" s="185"/>
      <c r="N76" s="185"/>
      <c r="O76" s="185"/>
      <c r="P76" s="185">
        <v>4088</v>
      </c>
      <c r="Q76" s="185">
        <v>1410</v>
      </c>
      <c r="R76" s="185">
        <v>529</v>
      </c>
      <c r="S76" s="185"/>
      <c r="T76" s="185"/>
      <c r="U76" s="185">
        <v>461</v>
      </c>
      <c r="V76" s="185"/>
      <c r="W76" s="185"/>
      <c r="X76" s="185"/>
      <c r="Y76" s="185">
        <v>3221</v>
      </c>
      <c r="Z76" s="185"/>
      <c r="AA76" s="185"/>
      <c r="AB76" s="185">
        <v>300</v>
      </c>
      <c r="AC76" s="185">
        <v>103</v>
      </c>
      <c r="AD76" s="185"/>
      <c r="AE76" s="185">
        <v>5221</v>
      </c>
      <c r="AF76" s="185"/>
      <c r="AG76" s="185"/>
      <c r="AH76" s="185"/>
      <c r="AI76" s="185"/>
      <c r="AJ76" s="185">
        <v>8877</v>
      </c>
      <c r="AK76" s="185">
        <v>8182</v>
      </c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4405</v>
      </c>
      <c r="AZ76" s="185">
        <v>1439</v>
      </c>
      <c r="BA76" s="185">
        <v>1614</v>
      </c>
      <c r="BB76" s="185">
        <v>1907</v>
      </c>
      <c r="BC76" s="185"/>
      <c r="BD76" s="185">
        <v>245</v>
      </c>
      <c r="BE76" s="185">
        <v>8392</v>
      </c>
      <c r="BF76" s="185">
        <v>722</v>
      </c>
      <c r="BG76" s="185"/>
      <c r="BH76" s="185"/>
      <c r="BI76" s="185"/>
      <c r="BJ76" s="185"/>
      <c r="BK76" s="185"/>
      <c r="BL76" s="185"/>
      <c r="BM76" s="185"/>
      <c r="BN76" s="185">
        <v>13396</v>
      </c>
      <c r="BO76" s="185"/>
      <c r="BP76" s="185"/>
      <c r="BQ76" s="185"/>
      <c r="BR76" s="185">
        <v>414</v>
      </c>
      <c r="BS76" s="185"/>
      <c r="BT76" s="185"/>
      <c r="BU76" s="185"/>
      <c r="BV76" s="185">
        <v>1061</v>
      </c>
      <c r="BW76" s="185"/>
      <c r="BX76" s="185"/>
      <c r="BY76" s="185">
        <v>1285</v>
      </c>
      <c r="BZ76" s="185"/>
      <c r="CA76" s="185"/>
      <c r="CB76" s="185"/>
      <c r="CC76" s="185">
        <f>5250+72</f>
        <v>5322</v>
      </c>
      <c r="CD76" s="245" t="s">
        <v>221</v>
      </c>
      <c r="CE76" s="195">
        <f t="shared" si="8"/>
        <v>88741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>
        <v>3493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5" t="s">
        <v>221</v>
      </c>
      <c r="AY77" s="245" t="s">
        <v>221</v>
      </c>
      <c r="AZ77" s="184"/>
      <c r="BA77" s="184"/>
      <c r="BB77" s="184"/>
      <c r="BC77" s="184"/>
      <c r="BD77" s="245" t="s">
        <v>221</v>
      </c>
      <c r="BE77" s="245" t="s">
        <v>221</v>
      </c>
      <c r="BF77" s="184"/>
      <c r="BG77" s="245" t="s">
        <v>221</v>
      </c>
      <c r="BH77" s="184"/>
      <c r="BI77" s="184"/>
      <c r="BJ77" s="245" t="s">
        <v>221</v>
      </c>
      <c r="BK77" s="184"/>
      <c r="BL77" s="184"/>
      <c r="BM77" s="184"/>
      <c r="BN77" s="245" t="s">
        <v>221</v>
      </c>
      <c r="BO77" s="245" t="s">
        <v>221</v>
      </c>
      <c r="BP77" s="245" t="s">
        <v>221</v>
      </c>
      <c r="BQ77" s="245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5" t="s">
        <v>221</v>
      </c>
      <c r="CD77" s="245" t="s">
        <v>221</v>
      </c>
      <c r="CE77" s="195">
        <f>SUM(C77:CD77)</f>
        <v>3493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/>
      <c r="D78" s="184"/>
      <c r="E78" s="184">
        <v>16147</v>
      </c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>
        <v>4088</v>
      </c>
      <c r="Q78" s="184">
        <v>1410</v>
      </c>
      <c r="R78" s="184">
        <v>529</v>
      </c>
      <c r="S78" s="184"/>
      <c r="T78" s="184"/>
      <c r="U78" s="184">
        <v>461</v>
      </c>
      <c r="V78" s="184"/>
      <c r="W78" s="184"/>
      <c r="X78" s="184"/>
      <c r="Y78" s="184">
        <v>3221</v>
      </c>
      <c r="Z78" s="184"/>
      <c r="AA78" s="184"/>
      <c r="AB78" s="184">
        <v>300</v>
      </c>
      <c r="AC78" s="184">
        <v>103</v>
      </c>
      <c r="AD78" s="184"/>
      <c r="AE78" s="184">
        <v>5221</v>
      </c>
      <c r="AF78" s="184"/>
      <c r="AG78" s="184"/>
      <c r="AH78" s="184"/>
      <c r="AI78" s="184"/>
      <c r="AJ78" s="184">
        <v>8877</v>
      </c>
      <c r="AK78" s="184">
        <v>8182</v>
      </c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5" t="s">
        <v>221</v>
      </c>
      <c r="AY78" s="245" t="s">
        <v>221</v>
      </c>
      <c r="AZ78" s="245" t="s">
        <v>221</v>
      </c>
      <c r="BA78" s="184">
        <v>1614</v>
      </c>
      <c r="BB78" s="184">
        <v>1907</v>
      </c>
      <c r="BC78" s="184"/>
      <c r="BD78" s="245" t="s">
        <v>221</v>
      </c>
      <c r="BE78" s="245" t="s">
        <v>221</v>
      </c>
      <c r="BF78" s="245" t="s">
        <v>221</v>
      </c>
      <c r="BG78" s="245" t="s">
        <v>221</v>
      </c>
      <c r="BH78" s="184"/>
      <c r="BI78" s="184"/>
      <c r="BJ78" s="245" t="s">
        <v>221</v>
      </c>
      <c r="BK78" s="184"/>
      <c r="BL78" s="184"/>
      <c r="BM78" s="184"/>
      <c r="BN78" s="245" t="s">
        <v>221</v>
      </c>
      <c r="BO78" s="245" t="s">
        <v>221</v>
      </c>
      <c r="BP78" s="245" t="s">
        <v>221</v>
      </c>
      <c r="BQ78" s="245" t="s">
        <v>221</v>
      </c>
      <c r="BR78" s="245" t="s">
        <v>221</v>
      </c>
      <c r="BS78" s="184"/>
      <c r="BT78" s="184"/>
      <c r="BU78" s="184"/>
      <c r="BV78" s="184">
        <v>1061</v>
      </c>
      <c r="BW78" s="184"/>
      <c r="BX78" s="184"/>
      <c r="BY78" s="184">
        <v>1285</v>
      </c>
      <c r="BZ78" s="184"/>
      <c r="CA78" s="184"/>
      <c r="CB78" s="184"/>
      <c r="CC78" s="245" t="s">
        <v>221</v>
      </c>
      <c r="CD78" s="245" t="s">
        <v>221</v>
      </c>
      <c r="CE78" s="195">
        <f t="shared" si="8"/>
        <v>54406</v>
      </c>
      <c r="CF78" s="195"/>
    </row>
    <row r="79" spans="1:84" ht="12.6" customHeight="1" x14ac:dyDescent="0.25">
      <c r="A79" s="171" t="s">
        <v>251</v>
      </c>
      <c r="B79" s="175"/>
      <c r="C79" s="221"/>
      <c r="D79" s="221"/>
      <c r="E79" s="184">
        <v>22593</v>
      </c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>
        <v>18553</v>
      </c>
      <c r="Q79" s="184"/>
      <c r="R79" s="184"/>
      <c r="S79" s="184"/>
      <c r="T79" s="184"/>
      <c r="U79" s="184"/>
      <c r="V79" s="184"/>
      <c r="W79" s="184"/>
      <c r="X79" s="184"/>
      <c r="Y79" s="184">
        <v>2035</v>
      </c>
      <c r="Z79" s="184"/>
      <c r="AA79" s="184"/>
      <c r="AB79" s="184"/>
      <c r="AC79" s="184"/>
      <c r="AD79" s="184"/>
      <c r="AE79" s="184">
        <v>372</v>
      </c>
      <c r="AF79" s="184"/>
      <c r="AG79" s="184"/>
      <c r="AH79" s="184"/>
      <c r="AI79" s="184"/>
      <c r="AJ79" s="184">
        <v>4640</v>
      </c>
      <c r="AK79" s="184">
        <v>1044</v>
      </c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5" t="s">
        <v>221</v>
      </c>
      <c r="AY79" s="245" t="s">
        <v>221</v>
      </c>
      <c r="AZ79" s="245" t="s">
        <v>221</v>
      </c>
      <c r="BA79" s="245" t="s">
        <v>221</v>
      </c>
      <c r="BB79" s="184"/>
      <c r="BC79" s="184"/>
      <c r="BD79" s="245" t="s">
        <v>221</v>
      </c>
      <c r="BE79" s="245" t="s">
        <v>221</v>
      </c>
      <c r="BF79" s="245" t="s">
        <v>221</v>
      </c>
      <c r="BG79" s="245" t="s">
        <v>221</v>
      </c>
      <c r="BH79" s="184"/>
      <c r="BI79" s="184"/>
      <c r="BJ79" s="245" t="s">
        <v>221</v>
      </c>
      <c r="BK79" s="184"/>
      <c r="BL79" s="184"/>
      <c r="BM79" s="184"/>
      <c r="BN79" s="245" t="s">
        <v>221</v>
      </c>
      <c r="BO79" s="245" t="s">
        <v>221</v>
      </c>
      <c r="BP79" s="245" t="s">
        <v>221</v>
      </c>
      <c r="BQ79" s="245" t="s">
        <v>221</v>
      </c>
      <c r="BR79" s="245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5" t="s">
        <v>221</v>
      </c>
      <c r="CD79" s="245" t="s">
        <v>221</v>
      </c>
      <c r="CE79" s="195">
        <f t="shared" si="8"/>
        <v>49237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>
        <v>18.37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>
        <v>8.06</v>
      </c>
      <c r="Q80" s="187">
        <v>2.3199999999999998</v>
      </c>
      <c r="R80" s="187">
        <v>4.33</v>
      </c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>
        <v>10.66</v>
      </c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5" t="s">
        <v>221</v>
      </c>
      <c r="AX80" s="245" t="s">
        <v>221</v>
      </c>
      <c r="AY80" s="245" t="s">
        <v>221</v>
      </c>
      <c r="AZ80" s="245" t="s">
        <v>221</v>
      </c>
      <c r="BA80" s="245" t="s">
        <v>221</v>
      </c>
      <c r="BB80" s="245" t="s">
        <v>221</v>
      </c>
      <c r="BC80" s="245" t="s">
        <v>221</v>
      </c>
      <c r="BD80" s="245" t="s">
        <v>221</v>
      </c>
      <c r="BE80" s="245" t="s">
        <v>221</v>
      </c>
      <c r="BF80" s="245" t="s">
        <v>221</v>
      </c>
      <c r="BG80" s="245" t="s">
        <v>221</v>
      </c>
      <c r="BH80" s="245" t="s">
        <v>221</v>
      </c>
      <c r="BI80" s="245" t="s">
        <v>221</v>
      </c>
      <c r="BJ80" s="245" t="s">
        <v>221</v>
      </c>
      <c r="BK80" s="245" t="s">
        <v>221</v>
      </c>
      <c r="BL80" s="245" t="s">
        <v>221</v>
      </c>
      <c r="BM80" s="245" t="s">
        <v>221</v>
      </c>
      <c r="BN80" s="245" t="s">
        <v>221</v>
      </c>
      <c r="BO80" s="245" t="s">
        <v>221</v>
      </c>
      <c r="BP80" s="245" t="s">
        <v>221</v>
      </c>
      <c r="BQ80" s="245" t="s">
        <v>221</v>
      </c>
      <c r="BR80" s="245" t="s">
        <v>221</v>
      </c>
      <c r="BS80" s="245" t="s">
        <v>221</v>
      </c>
      <c r="BT80" s="245" t="s">
        <v>221</v>
      </c>
      <c r="BU80" s="250"/>
      <c r="BV80" s="250"/>
      <c r="BW80" s="250"/>
      <c r="BX80" s="250"/>
      <c r="BY80" s="250"/>
      <c r="BZ80" s="250"/>
      <c r="CA80" s="250"/>
      <c r="CB80" s="250"/>
      <c r="CC80" s="245" t="s">
        <v>221</v>
      </c>
      <c r="CD80" s="245" t="s">
        <v>221</v>
      </c>
      <c r="CE80" s="251">
        <f t="shared" si="8"/>
        <v>43.739999999999995</v>
      </c>
      <c r="CF80" s="251"/>
    </row>
    <row r="81" spans="1:5" ht="12.6" customHeight="1" x14ac:dyDescent="0.25">
      <c r="A81" s="205" t="s">
        <v>253</v>
      </c>
      <c r="B81" s="205"/>
      <c r="C81" s="205"/>
      <c r="D81" s="205"/>
      <c r="E81" s="205"/>
    </row>
    <row r="82" spans="1:5" ht="12.6" customHeight="1" x14ac:dyDescent="0.25">
      <c r="A82" s="171" t="s">
        <v>254</v>
      </c>
      <c r="B82" s="172"/>
      <c r="C82" s="271" t="s">
        <v>1001</v>
      </c>
      <c r="D82" s="252"/>
      <c r="E82" s="175"/>
    </row>
    <row r="83" spans="1:5" ht="12.6" customHeight="1" x14ac:dyDescent="0.25">
      <c r="A83" s="173" t="s">
        <v>255</v>
      </c>
      <c r="B83" s="172" t="s">
        <v>256</v>
      </c>
      <c r="C83" s="223" t="s">
        <v>1003</v>
      </c>
      <c r="D83" s="252"/>
      <c r="E83" s="175"/>
    </row>
    <row r="84" spans="1:5" ht="12.6" customHeight="1" x14ac:dyDescent="0.25">
      <c r="A84" s="173" t="s">
        <v>257</v>
      </c>
      <c r="B84" s="172" t="s">
        <v>256</v>
      </c>
      <c r="C84" s="226" t="s">
        <v>1004</v>
      </c>
      <c r="D84" s="202"/>
      <c r="E84" s="201"/>
    </row>
    <row r="85" spans="1:5" ht="12.6" customHeight="1" x14ac:dyDescent="0.25">
      <c r="A85" s="173" t="s">
        <v>987</v>
      </c>
      <c r="B85" s="172"/>
      <c r="C85" s="266" t="s">
        <v>1005</v>
      </c>
      <c r="D85" s="202"/>
      <c r="E85" s="201"/>
    </row>
    <row r="86" spans="1:5" ht="12.6" customHeight="1" x14ac:dyDescent="0.25">
      <c r="A86" s="173" t="s">
        <v>988</v>
      </c>
      <c r="B86" s="172" t="s">
        <v>256</v>
      </c>
      <c r="C86" s="227" t="s">
        <v>1006</v>
      </c>
      <c r="D86" s="202"/>
      <c r="E86" s="201"/>
    </row>
    <row r="87" spans="1:5" ht="12.6" customHeight="1" x14ac:dyDescent="0.25">
      <c r="A87" s="173" t="s">
        <v>258</v>
      </c>
      <c r="B87" s="172" t="s">
        <v>256</v>
      </c>
      <c r="C87" s="226" t="s">
        <v>1007</v>
      </c>
      <c r="D87" s="202"/>
      <c r="E87" s="201"/>
    </row>
    <row r="88" spans="1:5" ht="12.6" customHeight="1" x14ac:dyDescent="0.25">
      <c r="A88" s="173" t="s">
        <v>259</v>
      </c>
      <c r="B88" s="172" t="s">
        <v>256</v>
      </c>
      <c r="C88" s="226" t="s">
        <v>1008</v>
      </c>
      <c r="D88" s="202"/>
      <c r="E88" s="201"/>
    </row>
    <row r="89" spans="1:5" ht="12.6" customHeight="1" x14ac:dyDescent="0.25">
      <c r="A89" s="173" t="s">
        <v>260</v>
      </c>
      <c r="B89" s="172" t="s">
        <v>256</v>
      </c>
      <c r="C89" s="226" t="s">
        <v>1009</v>
      </c>
      <c r="D89" s="202"/>
      <c r="E89" s="201"/>
    </row>
    <row r="90" spans="1:5" ht="12.6" customHeight="1" x14ac:dyDescent="0.25">
      <c r="A90" s="173" t="s">
        <v>261</v>
      </c>
      <c r="B90" s="172" t="s">
        <v>256</v>
      </c>
      <c r="C90" s="226" t="s">
        <v>1010</v>
      </c>
      <c r="D90" s="202"/>
      <c r="E90" s="201"/>
    </row>
    <row r="91" spans="1:5" ht="12.6" customHeight="1" x14ac:dyDescent="0.25">
      <c r="A91" s="173" t="s">
        <v>262</v>
      </c>
      <c r="B91" s="172" t="s">
        <v>256</v>
      </c>
      <c r="C91" s="226" t="s">
        <v>1011</v>
      </c>
      <c r="D91" s="202"/>
      <c r="E91" s="201"/>
    </row>
    <row r="92" spans="1:5" ht="12.6" customHeight="1" x14ac:dyDescent="0.25">
      <c r="A92" s="173" t="s">
        <v>263</v>
      </c>
      <c r="B92" s="172" t="s">
        <v>256</v>
      </c>
      <c r="C92" s="222" t="s">
        <v>1012</v>
      </c>
      <c r="D92" s="252"/>
      <c r="E92" s="175"/>
    </row>
    <row r="93" spans="1:5" ht="12.6" customHeight="1" x14ac:dyDescent="0.25">
      <c r="A93" s="173" t="s">
        <v>264</v>
      </c>
      <c r="B93" s="172" t="s">
        <v>256</v>
      </c>
      <c r="C93" s="275" t="s">
        <v>1013</v>
      </c>
      <c r="D93" s="252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5" t="s">
        <v>265</v>
      </c>
      <c r="B95" s="205"/>
      <c r="C95" s="205"/>
      <c r="D95" s="205"/>
      <c r="E95" s="205"/>
    </row>
    <row r="96" spans="1:5" ht="12.6" customHeight="1" x14ac:dyDescent="0.25">
      <c r="A96" s="253" t="s">
        <v>266</v>
      </c>
      <c r="B96" s="253"/>
      <c r="C96" s="253"/>
      <c r="D96" s="253"/>
      <c r="E96" s="253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3" t="s">
        <v>269</v>
      </c>
      <c r="B100" s="253"/>
      <c r="C100" s="253"/>
      <c r="D100" s="253"/>
      <c r="E100" s="253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18" t="s">
        <v>1014</v>
      </c>
      <c r="D102" s="175"/>
      <c r="E102" s="175"/>
    </row>
    <row r="103" spans="1:5" ht="12.6" customHeight="1" x14ac:dyDescent="0.25">
      <c r="A103" s="253" t="s">
        <v>271</v>
      </c>
      <c r="B103" s="253"/>
      <c r="C103" s="253"/>
      <c r="D103" s="253"/>
      <c r="E103" s="253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4" t="s">
        <v>275</v>
      </c>
      <c r="B108" s="205"/>
      <c r="C108" s="205"/>
      <c r="D108" s="205"/>
      <c r="E108" s="205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204</v>
      </c>
      <c r="D111" s="174">
        <v>619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0</v>
      </c>
      <c r="D112" s="174">
        <v>0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>
        <v>0</v>
      </c>
      <c r="D113" s="174">
        <v>0</v>
      </c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0</v>
      </c>
      <c r="D114" s="174">
        <v>0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0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0</v>
      </c>
      <c r="D117" s="175"/>
      <c r="E117" s="175"/>
    </row>
    <row r="118" spans="1:5" ht="12.6" customHeight="1" x14ac:dyDescent="0.25">
      <c r="A118" s="173" t="s">
        <v>975</v>
      </c>
      <c r="B118" s="172" t="s">
        <v>256</v>
      </c>
      <c r="C118" s="189">
        <v>0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>
        <v>30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0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>
        <v>0</v>
      </c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0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>
        <v>0</v>
      </c>
      <c r="D123" s="175"/>
      <c r="E123" s="175"/>
    </row>
    <row r="124" spans="1:5" ht="12.6" customHeight="1" x14ac:dyDescent="0.25">
      <c r="A124" s="173" t="s">
        <v>289</v>
      </c>
      <c r="B124" s="172"/>
      <c r="C124" s="189">
        <v>0</v>
      </c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>
        <v>0</v>
      </c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>
        <v>0</v>
      </c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30</v>
      </c>
    </row>
    <row r="128" spans="1:5" ht="12.6" customHeight="1" x14ac:dyDescent="0.25">
      <c r="A128" s="173" t="s">
        <v>292</v>
      </c>
      <c r="B128" s="172" t="s">
        <v>256</v>
      </c>
      <c r="C128" s="189">
        <v>30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0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>
        <v>0</v>
      </c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5" t="s">
        <v>976</v>
      </c>
      <c r="B136" s="204"/>
      <c r="C136" s="204"/>
      <c r="D136" s="204"/>
      <c r="E136" s="204"/>
    </row>
    <row r="137" spans="1:6" ht="12.6" customHeight="1" x14ac:dyDescent="0.25">
      <c r="A137" s="254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0</v>
      </c>
      <c r="C138" s="189">
        <f>41+56</f>
        <v>97</v>
      </c>
      <c r="D138" s="174">
        <f>204-97</f>
        <v>107</v>
      </c>
      <c r="E138" s="175">
        <f>SUM(B138:D138)</f>
        <v>204</v>
      </c>
    </row>
    <row r="139" spans="1:6" ht="12.6" customHeight="1" x14ac:dyDescent="0.25">
      <c r="A139" s="173" t="s">
        <v>215</v>
      </c>
      <c r="B139" s="174">
        <v>0</v>
      </c>
      <c r="C139" s="189">
        <f>143+163</f>
        <v>306</v>
      </c>
      <c r="D139" s="174">
        <f>619-306</f>
        <v>313</v>
      </c>
      <c r="E139" s="175">
        <f>SUM(B139:D139)</f>
        <v>619</v>
      </c>
    </row>
    <row r="140" spans="1:6" ht="12.6" customHeight="1" x14ac:dyDescent="0.25">
      <c r="A140" s="173" t="s">
        <v>298</v>
      </c>
      <c r="B140" s="174">
        <v>4</v>
      </c>
      <c r="C140" s="174">
        <f>1679-41+6386-56</f>
        <v>7968</v>
      </c>
      <c r="D140" s="174">
        <f>16510-204-7968-4</f>
        <v>8334</v>
      </c>
      <c r="E140" s="175">
        <f>SUM(B140:D140)</f>
        <v>16306</v>
      </c>
    </row>
    <row r="141" spans="1:6" ht="12.6" customHeight="1" x14ac:dyDescent="0.25">
      <c r="A141" s="173" t="s">
        <v>245</v>
      </c>
      <c r="B141" s="174">
        <v>0</v>
      </c>
      <c r="C141" s="189">
        <f>374871+479417+2564169+2860670</f>
        <v>6279127</v>
      </c>
      <c r="D141" s="174">
        <f>12106116-C141</f>
        <v>5826989</v>
      </c>
      <c r="E141" s="175">
        <f>SUM(B141:D141)</f>
        <v>12106116</v>
      </c>
      <c r="F141" s="199"/>
    </row>
    <row r="142" spans="1:6" ht="12.6" customHeight="1" x14ac:dyDescent="0.25">
      <c r="A142" s="173" t="s">
        <v>246</v>
      </c>
      <c r="B142" s="174">
        <v>3738</v>
      </c>
      <c r="C142" s="189">
        <f>951532+2442222+4918817+10470988-C141</f>
        <v>12504432</v>
      </c>
      <c r="D142" s="174">
        <f>38317817-12106116-12504432-3738</f>
        <v>13703531</v>
      </c>
      <c r="E142" s="175">
        <f>SUM(B142:D142)</f>
        <v>26211701</v>
      </c>
      <c r="F142" s="199"/>
    </row>
    <row r="143" spans="1:6" ht="12.6" customHeight="1" x14ac:dyDescent="0.25">
      <c r="A143" s="254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0</v>
      </c>
      <c r="C144" s="189">
        <v>0</v>
      </c>
      <c r="D144" s="174">
        <v>0</v>
      </c>
      <c r="E144" s="175">
        <f>SUM(B144:D144)</f>
        <v>0</v>
      </c>
    </row>
    <row r="145" spans="1:5" ht="12.6" customHeight="1" x14ac:dyDescent="0.25">
      <c r="A145" s="173" t="s">
        <v>215</v>
      </c>
      <c r="B145" s="174">
        <v>0</v>
      </c>
      <c r="C145" s="189">
        <v>0</v>
      </c>
      <c r="D145" s="174">
        <v>0</v>
      </c>
      <c r="E145" s="175">
        <f>SUM(B145:D145)</f>
        <v>0</v>
      </c>
    </row>
    <row r="146" spans="1:5" ht="12.6" customHeight="1" x14ac:dyDescent="0.25">
      <c r="A146" s="173" t="s">
        <v>298</v>
      </c>
      <c r="B146" s="174">
        <v>0</v>
      </c>
      <c r="C146" s="189">
        <v>0</v>
      </c>
      <c r="D146" s="174">
        <v>0</v>
      </c>
      <c r="E146" s="175">
        <f>SUM(B146:D146)</f>
        <v>0</v>
      </c>
    </row>
    <row r="147" spans="1:5" ht="12.6" customHeight="1" x14ac:dyDescent="0.25">
      <c r="A147" s="173" t="s">
        <v>245</v>
      </c>
      <c r="B147" s="174">
        <v>0</v>
      </c>
      <c r="C147" s="189">
        <v>0</v>
      </c>
      <c r="D147" s="174">
        <v>0</v>
      </c>
      <c r="E147" s="175">
        <f>SUM(B147:D147)</f>
        <v>0</v>
      </c>
    </row>
    <row r="148" spans="1:5" ht="12.6" customHeight="1" x14ac:dyDescent="0.25">
      <c r="A148" s="173" t="s">
        <v>246</v>
      </c>
      <c r="B148" s="174">
        <v>0</v>
      </c>
      <c r="C148" s="189">
        <v>0</v>
      </c>
      <c r="D148" s="174">
        <v>0</v>
      </c>
      <c r="E148" s="175">
        <f>SUM(B148:D148)</f>
        <v>0</v>
      </c>
    </row>
    <row r="149" spans="1:5" ht="12.6" customHeight="1" x14ac:dyDescent="0.25">
      <c r="A149" s="254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>
        <v>0</v>
      </c>
      <c r="C150" s="189">
        <v>0</v>
      </c>
      <c r="D150" s="174">
        <v>0</v>
      </c>
      <c r="E150" s="175">
        <f>SUM(B150:D150)</f>
        <v>0</v>
      </c>
    </row>
    <row r="151" spans="1:5" ht="12.6" customHeight="1" x14ac:dyDescent="0.25">
      <c r="A151" s="173" t="s">
        <v>215</v>
      </c>
      <c r="B151" s="174">
        <v>0</v>
      </c>
      <c r="C151" s="189">
        <v>0</v>
      </c>
      <c r="D151" s="174">
        <v>0</v>
      </c>
      <c r="E151" s="175">
        <f>SUM(B151:D151)</f>
        <v>0</v>
      </c>
    </row>
    <row r="152" spans="1:5" ht="12.6" customHeight="1" x14ac:dyDescent="0.25">
      <c r="A152" s="173" t="s">
        <v>298</v>
      </c>
      <c r="B152" s="174">
        <v>0</v>
      </c>
      <c r="C152" s="189">
        <v>0</v>
      </c>
      <c r="D152" s="174">
        <v>0</v>
      </c>
      <c r="E152" s="175">
        <f>SUM(B152:D152)</f>
        <v>0</v>
      </c>
    </row>
    <row r="153" spans="1:5" ht="12.6" customHeight="1" x14ac:dyDescent="0.25">
      <c r="A153" s="173" t="s">
        <v>245</v>
      </c>
      <c r="B153" s="174">
        <v>0</v>
      </c>
      <c r="C153" s="189">
        <v>0</v>
      </c>
      <c r="D153" s="174">
        <v>0</v>
      </c>
      <c r="E153" s="175">
        <f>SUM(B153:D153)</f>
        <v>0</v>
      </c>
    </row>
    <row r="154" spans="1:5" ht="12.6" customHeight="1" x14ac:dyDescent="0.25">
      <c r="A154" s="173" t="s">
        <v>246</v>
      </c>
      <c r="B154" s="174">
        <v>0</v>
      </c>
      <c r="C154" s="189">
        <v>0</v>
      </c>
      <c r="D154" s="174">
        <v>0</v>
      </c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4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f>1622530+85021+1337578+951532+2442222+6180+743+209997+383212+40385</f>
        <v>7079400</v>
      </c>
      <c r="C157" s="174">
        <v>5538918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4" t="s">
        <v>305</v>
      </c>
      <c r="B163" s="205"/>
      <c r="C163" s="205"/>
      <c r="D163" s="205"/>
      <c r="E163" s="205"/>
    </row>
    <row r="164" spans="1:5" ht="11.4" customHeight="1" x14ac:dyDescent="0.25">
      <c r="A164" s="253" t="s">
        <v>306</v>
      </c>
      <c r="B164" s="253"/>
      <c r="C164" s="253"/>
      <c r="D164" s="253"/>
      <c r="E164" s="253"/>
    </row>
    <row r="165" spans="1:5" ht="11.4" customHeight="1" x14ac:dyDescent="0.25">
      <c r="A165" s="173" t="s">
        <v>307</v>
      </c>
      <c r="B165" s="172" t="s">
        <v>256</v>
      </c>
      <c r="C165" s="189">
        <f>845442</f>
        <v>845442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0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0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2485309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38396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f>359679+449577</f>
        <v>809256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f>12885+23278+3324+31916-38384+168206</f>
        <v>201225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0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4379628</v>
      </c>
      <c r="E173" s="175"/>
    </row>
    <row r="174" spans="1:5" ht="11.4" customHeight="1" x14ac:dyDescent="0.25">
      <c r="A174" s="253" t="s">
        <v>314</v>
      </c>
      <c r="B174" s="253"/>
      <c r="C174" s="253"/>
      <c r="D174" s="253"/>
      <c r="E174" s="253"/>
    </row>
    <row r="175" spans="1:5" ht="11.4" customHeight="1" x14ac:dyDescent="0.25">
      <c r="A175" s="173" t="s">
        <v>315</v>
      </c>
      <c r="B175" s="172" t="s">
        <v>256</v>
      </c>
      <c r="C175" s="189">
        <v>0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f>15131+54734</f>
        <v>69865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69865</v>
      </c>
      <c r="E177" s="175"/>
    </row>
    <row r="178" spans="1:5" ht="11.4" customHeight="1" x14ac:dyDescent="0.25">
      <c r="A178" s="253" t="s">
        <v>317</v>
      </c>
      <c r="B178" s="253"/>
      <c r="C178" s="253"/>
      <c r="D178" s="253"/>
      <c r="E178" s="253"/>
    </row>
    <row r="179" spans="1:5" ht="11.4" customHeight="1" x14ac:dyDescent="0.25">
      <c r="A179" s="173" t="s">
        <v>318</v>
      </c>
      <c r="B179" s="172" t="s">
        <v>256</v>
      </c>
      <c r="C179" s="189">
        <v>0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258544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258544</v>
      </c>
      <c r="E181" s="175"/>
    </row>
    <row r="182" spans="1:5" ht="11.4" customHeight="1" x14ac:dyDescent="0.25">
      <c r="A182" s="253" t="s">
        <v>320</v>
      </c>
      <c r="B182" s="253"/>
      <c r="C182" s="253"/>
      <c r="D182" s="253"/>
      <c r="E182" s="253"/>
    </row>
    <row r="183" spans="1:5" ht="11.4" customHeight="1" x14ac:dyDescent="0.25">
      <c r="A183" s="173" t="s">
        <v>321</v>
      </c>
      <c r="B183" s="172" t="s">
        <v>256</v>
      </c>
      <c r="C183" s="189">
        <v>41020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81724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>
        <v>0</v>
      </c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122744</v>
      </c>
      <c r="E186" s="175"/>
    </row>
    <row r="187" spans="1:5" ht="11.4" customHeight="1" x14ac:dyDescent="0.25">
      <c r="A187" s="253" t="s">
        <v>323</v>
      </c>
      <c r="B187" s="253"/>
      <c r="C187" s="253"/>
      <c r="D187" s="253"/>
      <c r="E187" s="253"/>
    </row>
    <row r="188" spans="1:5" ht="11.4" customHeight="1" x14ac:dyDescent="0.2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0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0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5" t="s">
        <v>326</v>
      </c>
      <c r="B192" s="205"/>
      <c r="C192" s="205"/>
      <c r="D192" s="205"/>
      <c r="E192" s="205"/>
    </row>
    <row r="193" spans="1:8" ht="12.6" customHeight="1" x14ac:dyDescent="0.25">
      <c r="A193" s="204" t="s">
        <v>327</v>
      </c>
      <c r="B193" s="205"/>
      <c r="C193" s="205"/>
      <c r="D193" s="205"/>
      <c r="E193" s="205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5725868</v>
      </c>
      <c r="C195" s="189"/>
      <c r="D195" s="174"/>
      <c r="E195" s="175">
        <f t="shared" ref="E195:E203" si="10">SUM(B195:C195)-D195</f>
        <v>5725868</v>
      </c>
    </row>
    <row r="196" spans="1:8" ht="12.6" customHeight="1" x14ac:dyDescent="0.25">
      <c r="A196" s="173" t="s">
        <v>333</v>
      </c>
      <c r="B196" s="174">
        <v>413661</v>
      </c>
      <c r="C196" s="189"/>
      <c r="D196" s="174"/>
      <c r="E196" s="175">
        <f t="shared" si="10"/>
        <v>413661</v>
      </c>
    </row>
    <row r="197" spans="1:8" ht="12.6" customHeight="1" x14ac:dyDescent="0.25">
      <c r="A197" s="173" t="s">
        <v>334</v>
      </c>
      <c r="B197" s="174">
        <v>40638281</v>
      </c>
      <c r="C197" s="189"/>
      <c r="D197" s="174"/>
      <c r="E197" s="175">
        <f t="shared" si="10"/>
        <v>40638281</v>
      </c>
    </row>
    <row r="198" spans="1:8" ht="12.6" customHeight="1" x14ac:dyDescent="0.25">
      <c r="A198" s="173" t="s">
        <v>335</v>
      </c>
      <c r="B198" s="174">
        <v>3590856</v>
      </c>
      <c r="C198" s="189"/>
      <c r="D198" s="174"/>
      <c r="E198" s="175">
        <f t="shared" si="10"/>
        <v>3590856</v>
      </c>
    </row>
    <row r="199" spans="1:8" ht="12.6" customHeight="1" x14ac:dyDescent="0.25">
      <c r="A199" s="173" t="s">
        <v>336</v>
      </c>
      <c r="B199" s="174">
        <v>0</v>
      </c>
      <c r="C199" s="189"/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17390246</v>
      </c>
      <c r="C200" s="189"/>
      <c r="D200" s="174"/>
      <c r="E200" s="175">
        <f t="shared" si="10"/>
        <v>17390246</v>
      </c>
    </row>
    <row r="201" spans="1:8" ht="12.6" customHeight="1" x14ac:dyDescent="0.25">
      <c r="A201" s="173" t="s">
        <v>338</v>
      </c>
      <c r="B201" s="174">
        <v>0</v>
      </c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0</v>
      </c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0</v>
      </c>
      <c r="C203" s="189"/>
      <c r="D203" s="174"/>
      <c r="E203" s="175">
        <f t="shared" si="10"/>
        <v>0</v>
      </c>
    </row>
    <row r="204" spans="1:8" ht="12.6" customHeight="1" x14ac:dyDescent="0.25">
      <c r="A204" s="173" t="s">
        <v>203</v>
      </c>
      <c r="B204" s="175">
        <f>SUM(B195:B203)</f>
        <v>67758912</v>
      </c>
      <c r="C204" s="191">
        <f>SUM(C195:C203)</f>
        <v>0</v>
      </c>
      <c r="D204" s="175">
        <f>SUM(D195:D203)</f>
        <v>0</v>
      </c>
      <c r="E204" s="175">
        <f>SUM(E195:E203)</f>
        <v>67758912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4" t="s">
        <v>341</v>
      </c>
      <c r="B206" s="204"/>
      <c r="C206" s="204"/>
      <c r="D206" s="204"/>
      <c r="E206" s="204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5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5"/>
    </row>
    <row r="209" spans="1:8" ht="12.6" customHeight="1" x14ac:dyDescent="0.25">
      <c r="A209" s="173" t="s">
        <v>333</v>
      </c>
      <c r="B209" s="174">
        <v>325615</v>
      </c>
      <c r="C209" s="189"/>
      <c r="D209" s="174"/>
      <c r="E209" s="175">
        <f t="shared" ref="E209:E216" si="11">SUM(B209:C209)-D209</f>
        <v>325615</v>
      </c>
      <c r="H209" s="255"/>
    </row>
    <row r="210" spans="1:8" ht="12.6" customHeight="1" x14ac:dyDescent="0.25">
      <c r="A210" s="173" t="s">
        <v>334</v>
      </c>
      <c r="B210" s="174">
        <v>28021454</v>
      </c>
      <c r="C210" s="189"/>
      <c r="D210" s="174"/>
      <c r="E210" s="175">
        <f t="shared" si="11"/>
        <v>28021454</v>
      </c>
      <c r="H210" s="255"/>
    </row>
    <row r="211" spans="1:8" ht="12.6" customHeight="1" x14ac:dyDescent="0.25">
      <c r="A211" s="173" t="s">
        <v>335</v>
      </c>
      <c r="B211" s="174">
        <v>3490505</v>
      </c>
      <c r="C211" s="189"/>
      <c r="D211" s="174"/>
      <c r="E211" s="175">
        <f t="shared" si="11"/>
        <v>3490505</v>
      </c>
      <c r="H211" s="255"/>
    </row>
    <row r="212" spans="1:8" ht="12.6" customHeight="1" x14ac:dyDescent="0.25">
      <c r="A212" s="173" t="s">
        <v>336</v>
      </c>
      <c r="B212" s="174">
        <v>0</v>
      </c>
      <c r="C212" s="189"/>
      <c r="D212" s="174"/>
      <c r="E212" s="175">
        <f t="shared" si="11"/>
        <v>0</v>
      </c>
      <c r="H212" s="255"/>
    </row>
    <row r="213" spans="1:8" ht="12.6" customHeight="1" x14ac:dyDescent="0.25">
      <c r="A213" s="173" t="s">
        <v>337</v>
      </c>
      <c r="B213" s="174">
        <f>12843039-770294</f>
        <v>12072745</v>
      </c>
      <c r="C213" s="189"/>
      <c r="D213" s="174"/>
      <c r="E213" s="175">
        <f t="shared" si="11"/>
        <v>12072745</v>
      </c>
      <c r="H213" s="255"/>
    </row>
    <row r="214" spans="1:8" ht="12.6" customHeight="1" x14ac:dyDescent="0.25">
      <c r="A214" s="173" t="s">
        <v>338</v>
      </c>
      <c r="B214" s="174">
        <v>0</v>
      </c>
      <c r="C214" s="189"/>
      <c r="D214" s="174"/>
      <c r="E214" s="175">
        <f t="shared" si="11"/>
        <v>0</v>
      </c>
      <c r="H214" s="255"/>
    </row>
    <row r="215" spans="1:8" ht="12.6" customHeight="1" x14ac:dyDescent="0.25">
      <c r="A215" s="173" t="s">
        <v>339</v>
      </c>
      <c r="B215" s="174">
        <v>0</v>
      </c>
      <c r="C215" s="189"/>
      <c r="D215" s="174"/>
      <c r="E215" s="175">
        <f t="shared" si="11"/>
        <v>0</v>
      </c>
      <c r="H215" s="255"/>
    </row>
    <row r="216" spans="1:8" ht="12.6" customHeight="1" x14ac:dyDescent="0.25">
      <c r="A216" s="173" t="s">
        <v>340</v>
      </c>
      <c r="B216" s="174">
        <v>0</v>
      </c>
      <c r="C216" s="189"/>
      <c r="D216" s="174"/>
      <c r="E216" s="175">
        <f t="shared" si="11"/>
        <v>0</v>
      </c>
      <c r="H216" s="255"/>
    </row>
    <row r="217" spans="1:8" ht="12.6" customHeight="1" x14ac:dyDescent="0.25">
      <c r="A217" s="173" t="s">
        <v>203</v>
      </c>
      <c r="B217" s="175">
        <f>SUM(B208:B216)</f>
        <v>43910319</v>
      </c>
      <c r="C217" s="191">
        <f>SUM(C208:C216)</f>
        <v>0</v>
      </c>
      <c r="D217" s="175">
        <f>SUM(D208:D216)</f>
        <v>0</v>
      </c>
      <c r="E217" s="175">
        <f>SUM(E208:E216)</f>
        <v>43910319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5" t="s">
        <v>342</v>
      </c>
      <c r="B219" s="205"/>
      <c r="C219" s="205"/>
      <c r="D219" s="205"/>
      <c r="E219" s="205"/>
    </row>
    <row r="220" spans="1:8" ht="12.6" customHeight="1" x14ac:dyDescent="0.25">
      <c r="A220" s="205"/>
      <c r="B220" s="278" t="s">
        <v>991</v>
      </c>
      <c r="C220" s="278"/>
      <c r="D220" s="205"/>
      <c r="E220" s="205"/>
    </row>
    <row r="221" spans="1:8" ht="12.6" customHeight="1" x14ac:dyDescent="0.25">
      <c r="A221" s="267" t="s">
        <v>991</v>
      </c>
      <c r="B221" s="205"/>
      <c r="C221" s="189">
        <v>0</v>
      </c>
      <c r="D221" s="172">
        <f>C221</f>
        <v>0</v>
      </c>
      <c r="E221" s="205"/>
    </row>
    <row r="222" spans="1:8" ht="12.6" customHeight="1" x14ac:dyDescent="0.25">
      <c r="A222" s="253" t="s">
        <v>343</v>
      </c>
      <c r="B222" s="253"/>
      <c r="C222" s="253"/>
      <c r="D222" s="253"/>
      <c r="E222" s="253"/>
    </row>
    <row r="223" spans="1:8" ht="12.6" customHeight="1" x14ac:dyDescent="0.25">
      <c r="A223" s="173" t="s">
        <v>344</v>
      </c>
      <c r="B223" s="172" t="s">
        <v>256</v>
      </c>
      <c r="C223" s="189">
        <f>252+407</f>
        <v>659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f>11589+62325+189550-15626+62411+78423+3787159+10038984</f>
        <v>14214815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f>4032-102338+13724+915085</f>
        <v>830503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0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0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f>10776+7828+36224+443416-5199+4482+57341+135+57167+5362664+254790+3683182+19+1-2094-3329382</f>
        <v>6581350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21627327</v>
      </c>
      <c r="E229" s="175"/>
    </row>
    <row r="230" spans="1:5" ht="12.6" customHeight="1" x14ac:dyDescent="0.25">
      <c r="A230" s="253" t="s">
        <v>351</v>
      </c>
      <c r="B230" s="253"/>
      <c r="C230" s="253"/>
      <c r="D230" s="253"/>
      <c r="E230" s="253"/>
    </row>
    <row r="231" spans="1:5" ht="12.6" customHeight="1" x14ac:dyDescent="0.25">
      <c r="A231" s="171" t="s">
        <v>352</v>
      </c>
      <c r="B231" s="172" t="s">
        <v>256</v>
      </c>
      <c r="C231" s="189">
        <f>107+528+7</f>
        <v>642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1768538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1844831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3613369</v>
      </c>
      <c r="E236" s="175"/>
    </row>
    <row r="237" spans="1:5" ht="12.6" customHeight="1" x14ac:dyDescent="0.25">
      <c r="A237" s="253" t="s">
        <v>356</v>
      </c>
      <c r="B237" s="253"/>
      <c r="C237" s="253"/>
      <c r="D237" s="253"/>
      <c r="E237" s="253"/>
    </row>
    <row r="238" spans="1:5" ht="12.6" customHeight="1" x14ac:dyDescent="0.25">
      <c r="A238" s="173" t="s">
        <v>357</v>
      </c>
      <c r="B238" s="172" t="s">
        <v>256</v>
      </c>
      <c r="C238" s="189">
        <f>775+132280</f>
        <v>133055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f>53381+961-265440+159+1880+3518683+285446</f>
        <v>3595070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3728125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28968821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5" t="s">
        <v>360</v>
      </c>
      <c r="B248" s="205"/>
      <c r="C248" s="205"/>
      <c r="D248" s="205"/>
      <c r="E248" s="205"/>
    </row>
    <row r="249" spans="1:5" ht="11.25" customHeight="1" x14ac:dyDescent="0.25">
      <c r="A249" s="253" t="s">
        <v>361</v>
      </c>
      <c r="B249" s="253"/>
      <c r="C249" s="253"/>
      <c r="D249" s="253"/>
      <c r="E249" s="253"/>
    </row>
    <row r="250" spans="1:5" ht="12.45" customHeight="1" x14ac:dyDescent="0.25">
      <c r="A250" s="173" t="s">
        <v>362</v>
      </c>
      <c r="B250" s="172" t="s">
        <v>256</v>
      </c>
      <c r="C250" s="189">
        <v>137985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>
        <v>0</v>
      </c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f>5728625+173479+10314</f>
        <v>5912418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f>4347263+134690</f>
        <v>4481953</v>
      </c>
      <c r="D253" s="175"/>
      <c r="E253" s="175"/>
    </row>
    <row r="254" spans="1:5" ht="12.45" customHeight="1" x14ac:dyDescent="0.25">
      <c r="A254" s="173" t="s">
        <v>977</v>
      </c>
      <c r="B254" s="172" t="s">
        <v>256</v>
      </c>
      <c r="C254" s="189">
        <v>0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0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751270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295268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2614988</v>
      </c>
      <c r="E260" s="175"/>
    </row>
    <row r="261" spans="1:5" ht="11.25" customHeight="1" x14ac:dyDescent="0.25">
      <c r="A261" s="253" t="s">
        <v>372</v>
      </c>
      <c r="B261" s="253"/>
      <c r="C261" s="253"/>
      <c r="D261" s="253"/>
      <c r="E261" s="253"/>
    </row>
    <row r="262" spans="1:5" ht="12.45" customHeight="1" x14ac:dyDescent="0.25">
      <c r="A262" s="173" t="s">
        <v>362</v>
      </c>
      <c r="B262" s="172" t="s">
        <v>256</v>
      </c>
      <c r="C262" s="189">
        <v>0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v>0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0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3" t="s">
        <v>375</v>
      </c>
      <c r="B266" s="253"/>
      <c r="C266" s="253"/>
      <c r="D266" s="253"/>
      <c r="E266" s="253"/>
    </row>
    <row r="267" spans="1:5" ht="12.45" customHeight="1" x14ac:dyDescent="0.25">
      <c r="A267" s="173" t="s">
        <v>332</v>
      </c>
      <c r="B267" s="172" t="s">
        <v>256</v>
      </c>
      <c r="C267" s="189">
        <v>2862934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206831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20319141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1795428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0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8695123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0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0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33879457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f>162808+14010727+1745253+6421520-385147</f>
        <v>21955161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11924296</v>
      </c>
      <c r="E277" s="175"/>
    </row>
    <row r="278" spans="1:5" ht="12.6" customHeight="1" x14ac:dyDescent="0.25">
      <c r="A278" s="253" t="s">
        <v>382</v>
      </c>
      <c r="B278" s="253"/>
      <c r="C278" s="253"/>
      <c r="D278" s="253"/>
      <c r="E278" s="253"/>
    </row>
    <row r="279" spans="1:5" ht="12.6" customHeight="1" x14ac:dyDescent="0.25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0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0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3" t="s">
        <v>387</v>
      </c>
      <c r="B285" s="253"/>
      <c r="C285" s="253"/>
      <c r="D285" s="253"/>
      <c r="E285" s="253"/>
    </row>
    <row r="286" spans="1:5" ht="12.6" customHeight="1" x14ac:dyDescent="0.25">
      <c r="A286" s="173" t="s">
        <v>388</v>
      </c>
      <c r="B286" s="172" t="s">
        <v>256</v>
      </c>
      <c r="C286" s="189">
        <v>0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>
        <v>0</v>
      </c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0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14539284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5" t="s">
        <v>394</v>
      </c>
      <c r="B302" s="205"/>
      <c r="C302" s="205"/>
      <c r="D302" s="205"/>
      <c r="E302" s="205"/>
    </row>
    <row r="303" spans="1:5" ht="14.25" customHeight="1" x14ac:dyDescent="0.25">
      <c r="A303" s="253" t="s">
        <v>395</v>
      </c>
      <c r="B303" s="253"/>
      <c r="C303" s="253"/>
      <c r="D303" s="253"/>
      <c r="E303" s="253"/>
    </row>
    <row r="304" spans="1:5" ht="12.6" customHeight="1" x14ac:dyDescent="0.25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f>26044+434+1205+69350</f>
        <v>97033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f>703638+53828+1168685</f>
        <v>1926151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172551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" customHeight="1" x14ac:dyDescent="0.25">
      <c r="A309" s="173" t="s">
        <v>978</v>
      </c>
      <c r="B309" s="172" t="s">
        <v>256</v>
      </c>
      <c r="C309" s="189">
        <v>0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57667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2253402</v>
      </c>
      <c r="E314" s="175"/>
    </row>
    <row r="315" spans="1:5" ht="12.6" customHeight="1" x14ac:dyDescent="0.25">
      <c r="A315" s="253" t="s">
        <v>406</v>
      </c>
      <c r="B315" s="253"/>
      <c r="C315" s="253"/>
      <c r="D315" s="253"/>
      <c r="E315" s="253"/>
    </row>
    <row r="316" spans="1:5" ht="12.6" customHeight="1" x14ac:dyDescent="0.25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-176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-176</v>
      </c>
      <c r="E319" s="175"/>
    </row>
    <row r="320" spans="1:5" ht="12.6" customHeight="1" x14ac:dyDescent="0.25">
      <c r="A320" s="253" t="s">
        <v>411</v>
      </c>
      <c r="B320" s="253"/>
      <c r="C320" s="253"/>
      <c r="D320" s="253"/>
      <c r="E320" s="253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0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0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0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0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18">
        <v>12286058</v>
      </c>
      <c r="D332" s="175"/>
      <c r="E332" s="175"/>
    </row>
    <row r="333" spans="1:5" ht="12.6" customHeight="1" x14ac:dyDescent="0.25">
      <c r="A333" s="173"/>
      <c r="B333" s="172"/>
      <c r="C333" s="228"/>
      <c r="D333" s="175"/>
      <c r="E333" s="175"/>
    </row>
    <row r="334" spans="1:5" ht="12.6" customHeight="1" x14ac:dyDescent="0.25">
      <c r="A334" s="173" t="s">
        <v>878</v>
      </c>
      <c r="B334" s="172" t="s">
        <v>256</v>
      </c>
      <c r="C334" s="218">
        <v>0</v>
      </c>
      <c r="D334" s="175"/>
      <c r="E334" s="175"/>
    </row>
    <row r="335" spans="1:5" ht="12.6" customHeight="1" x14ac:dyDescent="0.25">
      <c r="A335" s="173" t="s">
        <v>879</v>
      </c>
      <c r="B335" s="172" t="s">
        <v>256</v>
      </c>
      <c r="C335" s="218">
        <v>0</v>
      </c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18">
        <v>0</v>
      </c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0</v>
      </c>
      <c r="D337" s="175"/>
      <c r="E337" s="175"/>
    </row>
    <row r="338" spans="1:5" ht="12.6" customHeight="1" x14ac:dyDescent="0.25">
      <c r="A338" s="173" t="s">
        <v>989</v>
      </c>
      <c r="B338" s="172" t="s">
        <v>256</v>
      </c>
      <c r="C338" s="189">
        <v>0</v>
      </c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14539284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14539284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5" t="s">
        <v>426</v>
      </c>
      <c r="B357" s="205"/>
      <c r="C357" s="205"/>
      <c r="D357" s="205"/>
      <c r="E357" s="205"/>
    </row>
    <row r="358" spans="1:5" ht="12.6" customHeight="1" x14ac:dyDescent="0.25">
      <c r="A358" s="253" t="s">
        <v>427</v>
      </c>
      <c r="B358" s="253"/>
      <c r="C358" s="253"/>
      <c r="D358" s="253"/>
      <c r="E358" s="253"/>
    </row>
    <row r="359" spans="1:5" ht="12.6" customHeight="1" x14ac:dyDescent="0.25">
      <c r="A359" s="173" t="s">
        <v>428</v>
      </c>
      <c r="B359" s="172" t="s">
        <v>256</v>
      </c>
      <c r="C359" s="189">
        <v>12106116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26211704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38317820</v>
      </c>
      <c r="E361" s="175"/>
    </row>
    <row r="362" spans="1:5" ht="12.6" customHeight="1" x14ac:dyDescent="0.25">
      <c r="A362" s="253" t="s">
        <v>431</v>
      </c>
      <c r="B362" s="253"/>
      <c r="C362" s="253"/>
      <c r="D362" s="253"/>
      <c r="E362" s="253"/>
    </row>
    <row r="363" spans="1:5" ht="12.6" customHeight="1" x14ac:dyDescent="0.25">
      <c r="A363" s="173" t="s">
        <v>991</v>
      </c>
      <c r="B363" s="253"/>
      <c r="C363" s="189">
        <v>0</v>
      </c>
      <c r="D363" s="175"/>
      <c r="E363" s="253"/>
    </row>
    <row r="364" spans="1:5" ht="12.6" customHeight="1" x14ac:dyDescent="0.25">
      <c r="A364" s="173" t="s">
        <v>432</v>
      </c>
      <c r="B364" s="172" t="s">
        <v>256</v>
      </c>
      <c r="C364" s="189">
        <f>285446+28016159+401290-C365+265926</f>
        <v>25355452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3613369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0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28968821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9348999</v>
      </c>
      <c r="E368" s="175"/>
    </row>
    <row r="369" spans="1:5" ht="12.6" customHeight="1" x14ac:dyDescent="0.25">
      <c r="A369" s="253" t="s">
        <v>436</v>
      </c>
      <c r="B369" s="253"/>
      <c r="C369" s="253"/>
      <c r="D369" s="253"/>
      <c r="E369" s="253"/>
    </row>
    <row r="370" spans="1:5" ht="12.6" customHeight="1" x14ac:dyDescent="0.25">
      <c r="A370" s="173" t="s">
        <v>437</v>
      </c>
      <c r="B370" s="172" t="s">
        <v>256</v>
      </c>
      <c r="C370" s="189">
        <f>266878+2474844+8594+49684</f>
        <v>2800000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0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2800000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12148999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3" t="s">
        <v>441</v>
      </c>
      <c r="B377" s="253"/>
      <c r="C377" s="253"/>
      <c r="D377" s="253"/>
      <c r="E377" s="253"/>
    </row>
    <row r="378" spans="1:5" ht="12.6" customHeight="1" x14ac:dyDescent="0.25">
      <c r="A378" s="173" t="s">
        <v>442</v>
      </c>
      <c r="B378" s="172" t="s">
        <v>256</v>
      </c>
      <c r="C378" s="189">
        <f>14159257+80640</f>
        <v>14239897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f>3404364+975264</f>
        <v>4379628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302175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2720774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422052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f>495253-15131-54734</f>
        <v>425388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1019531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f>15131+54734</f>
        <v>69865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258544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f>41020+81724</f>
        <v>122744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0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947716+50000</f>
        <v>997716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24958314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-12809315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0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-12809315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>
        <v>0</v>
      </c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>
        <v>0</v>
      </c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-12809315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6"/>
    </row>
    <row r="412" spans="1:5" ht="12.6" customHeight="1" x14ac:dyDescent="0.25">
      <c r="A412" s="179" t="str">
        <f>C84&amp;"   "&amp;"H-"&amp;FIXED(C83,0,TRUE)&amp;"     FYE "&amp;C82</f>
        <v>Shriners Hospitals for Children - Spokane   H-0     FYE 12/31/2019</v>
      </c>
      <c r="B412" s="179"/>
      <c r="C412" s="179"/>
      <c r="D412" s="179"/>
      <c r="E412" s="256"/>
    </row>
    <row r="413" spans="1:5" ht="12.6" customHeight="1" x14ac:dyDescent="0.25">
      <c r="A413" s="179" t="s">
        <v>460</v>
      </c>
      <c r="B413" s="181" t="s">
        <v>461</v>
      </c>
      <c r="C413" s="181" t="s">
        <v>979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204</v>
      </c>
      <c r="C414" s="194">
        <f>E138</f>
        <v>204</v>
      </c>
      <c r="D414" s="179"/>
    </row>
    <row r="415" spans="1:5" ht="12.6" customHeight="1" x14ac:dyDescent="0.25">
      <c r="A415" s="179" t="s">
        <v>464</v>
      </c>
      <c r="B415" s="179">
        <f>D111</f>
        <v>619</v>
      </c>
      <c r="C415" s="179">
        <f>E139</f>
        <v>619</v>
      </c>
      <c r="D415" s="194">
        <f>SUM(C59:H59)+N59</f>
        <v>619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3"/>
      <c r="B422" s="203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980</v>
      </c>
      <c r="B424" s="179">
        <f>D114</f>
        <v>0</v>
      </c>
      <c r="D424" s="179">
        <f>J59</f>
        <v>0</v>
      </c>
    </row>
    <row r="425" spans="1:7" ht="12.6" customHeight="1" x14ac:dyDescent="0.25">
      <c r="A425" s="203"/>
      <c r="B425" s="203"/>
      <c r="C425" s="203"/>
      <c r="D425" s="203"/>
      <c r="F425" s="203"/>
      <c r="G425" s="203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14239897</v>
      </c>
      <c r="C427" s="179">
        <f t="shared" ref="C427:C434" si="13">CE61</f>
        <v>13559925</v>
      </c>
      <c r="D427" s="179"/>
    </row>
    <row r="428" spans="1:7" ht="12.6" customHeight="1" x14ac:dyDescent="0.25">
      <c r="A428" s="179" t="s">
        <v>3</v>
      </c>
      <c r="B428" s="179">
        <f t="shared" si="12"/>
        <v>4379628</v>
      </c>
      <c r="C428" s="179">
        <f t="shared" si="13"/>
        <v>4379627</v>
      </c>
      <c r="D428" s="179">
        <f>D173</f>
        <v>4379628</v>
      </c>
    </row>
    <row r="429" spans="1:7" ht="12.6" customHeight="1" x14ac:dyDescent="0.25">
      <c r="A429" s="179" t="s">
        <v>236</v>
      </c>
      <c r="B429" s="179">
        <f t="shared" si="12"/>
        <v>302175</v>
      </c>
      <c r="C429" s="179">
        <f t="shared" si="13"/>
        <v>0</v>
      </c>
      <c r="D429" s="179"/>
    </row>
    <row r="430" spans="1:7" ht="12.6" customHeight="1" x14ac:dyDescent="0.25">
      <c r="A430" s="179" t="s">
        <v>237</v>
      </c>
      <c r="B430" s="179">
        <f t="shared" si="12"/>
        <v>2720774</v>
      </c>
      <c r="C430" s="179">
        <f t="shared" si="13"/>
        <v>1</v>
      </c>
      <c r="D430" s="179"/>
    </row>
    <row r="431" spans="1:7" ht="12.6" customHeight="1" x14ac:dyDescent="0.25">
      <c r="A431" s="179" t="s">
        <v>444</v>
      </c>
      <c r="B431" s="179">
        <f t="shared" si="12"/>
        <v>422052</v>
      </c>
      <c r="C431" s="179">
        <f t="shared" si="13"/>
        <v>0</v>
      </c>
      <c r="D431" s="179"/>
    </row>
    <row r="432" spans="1:7" ht="12.6" customHeight="1" x14ac:dyDescent="0.25">
      <c r="A432" s="179" t="s">
        <v>445</v>
      </c>
      <c r="B432" s="179">
        <f t="shared" si="12"/>
        <v>425388</v>
      </c>
      <c r="C432" s="179">
        <f t="shared" si="13"/>
        <v>0</v>
      </c>
      <c r="D432" s="179"/>
    </row>
    <row r="433" spans="1:7" ht="12.6" customHeight="1" x14ac:dyDescent="0.25">
      <c r="A433" s="179" t="s">
        <v>6</v>
      </c>
      <c r="B433" s="179">
        <f t="shared" si="12"/>
        <v>1019531</v>
      </c>
      <c r="C433" s="179">
        <f t="shared" si="13"/>
        <v>1019529</v>
      </c>
      <c r="D433" s="179">
        <f>C217</f>
        <v>0</v>
      </c>
    </row>
    <row r="434" spans="1:7" ht="12.6" customHeight="1" x14ac:dyDescent="0.25">
      <c r="A434" s="179" t="s">
        <v>474</v>
      </c>
      <c r="B434" s="179">
        <f t="shared" si="12"/>
        <v>69865</v>
      </c>
      <c r="C434" s="179">
        <f t="shared" si="13"/>
        <v>0</v>
      </c>
      <c r="D434" s="179">
        <f>D177</f>
        <v>69865</v>
      </c>
    </row>
    <row r="435" spans="1:7" ht="12.6" customHeight="1" x14ac:dyDescent="0.25">
      <c r="A435" s="179" t="s">
        <v>447</v>
      </c>
      <c r="B435" s="179">
        <f t="shared" si="12"/>
        <v>258544</v>
      </c>
      <c r="C435" s="179"/>
      <c r="D435" s="179">
        <f>D181</f>
        <v>258544</v>
      </c>
    </row>
    <row r="436" spans="1:7" ht="12.6" customHeight="1" x14ac:dyDescent="0.25">
      <c r="A436" s="179" t="s">
        <v>475</v>
      </c>
      <c r="B436" s="179">
        <f t="shared" si="12"/>
        <v>122744</v>
      </c>
      <c r="C436" s="179"/>
      <c r="D436" s="179">
        <f>D186</f>
        <v>122744</v>
      </c>
    </row>
    <row r="437" spans="1:7" ht="12.6" customHeight="1" x14ac:dyDescent="0.25">
      <c r="A437" s="194" t="s">
        <v>449</v>
      </c>
      <c r="B437" s="194">
        <f t="shared" si="12"/>
        <v>0</v>
      </c>
      <c r="C437" s="194"/>
      <c r="D437" s="194">
        <f>D190</f>
        <v>0</v>
      </c>
    </row>
    <row r="438" spans="1:7" ht="12.6" customHeight="1" x14ac:dyDescent="0.25">
      <c r="A438" s="194" t="s">
        <v>476</v>
      </c>
      <c r="B438" s="194">
        <f>C386+C387+C388</f>
        <v>381288</v>
      </c>
      <c r="C438" s="194">
        <f>CD69</f>
        <v>0</v>
      </c>
      <c r="D438" s="194">
        <f>D181+D186+D190</f>
        <v>381288</v>
      </c>
    </row>
    <row r="439" spans="1:7" ht="12.6" customHeight="1" x14ac:dyDescent="0.25">
      <c r="A439" s="179" t="s">
        <v>451</v>
      </c>
      <c r="B439" s="194">
        <f>C389</f>
        <v>997716</v>
      </c>
      <c r="C439" s="194">
        <f>SUM(C69:CC69)</f>
        <v>0</v>
      </c>
      <c r="D439" s="179"/>
    </row>
    <row r="440" spans="1:7" ht="12.6" customHeight="1" x14ac:dyDescent="0.25">
      <c r="A440" s="179" t="s">
        <v>477</v>
      </c>
      <c r="B440" s="194">
        <f>B438+B439</f>
        <v>1379004</v>
      </c>
      <c r="C440" s="194">
        <f>CE69</f>
        <v>0</v>
      </c>
      <c r="D440" s="179"/>
    </row>
    <row r="441" spans="1:7" ht="12.6" customHeight="1" x14ac:dyDescent="0.25">
      <c r="A441" s="179" t="s">
        <v>478</v>
      </c>
      <c r="B441" s="179">
        <f>D390</f>
        <v>24958314</v>
      </c>
      <c r="C441" s="179">
        <f>SUM(C427:C437)+C440</f>
        <v>18959082</v>
      </c>
      <c r="D441" s="179"/>
    </row>
    <row r="442" spans="1:7" ht="12.6" customHeight="1" x14ac:dyDescent="0.25">
      <c r="A442" s="203"/>
      <c r="B442" s="203"/>
      <c r="C442" s="203"/>
      <c r="D442" s="203"/>
      <c r="F442" s="203"/>
      <c r="G442" s="203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992</v>
      </c>
      <c r="B444" s="179">
        <f>D221</f>
        <v>0</v>
      </c>
      <c r="C444" s="179">
        <f>C363</f>
        <v>0</v>
      </c>
      <c r="D444" s="179"/>
    </row>
    <row r="445" spans="1:7" ht="12.6" customHeight="1" x14ac:dyDescent="0.25">
      <c r="A445" s="179" t="s">
        <v>343</v>
      </c>
      <c r="B445" s="179">
        <f>D229</f>
        <v>21627327</v>
      </c>
      <c r="C445" s="179">
        <f>C364</f>
        <v>25355452</v>
      </c>
      <c r="D445" s="179"/>
    </row>
    <row r="446" spans="1:7" ht="12.6" customHeight="1" x14ac:dyDescent="0.25">
      <c r="A446" s="179" t="s">
        <v>351</v>
      </c>
      <c r="B446" s="179">
        <f>D236</f>
        <v>3613369</v>
      </c>
      <c r="C446" s="179">
        <f>C365</f>
        <v>3613369</v>
      </c>
      <c r="D446" s="179"/>
    </row>
    <row r="447" spans="1:7" ht="12.6" customHeight="1" x14ac:dyDescent="0.25">
      <c r="A447" s="179" t="s">
        <v>356</v>
      </c>
      <c r="B447" s="179">
        <f>D240</f>
        <v>3728125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28968821</v>
      </c>
      <c r="C448" s="179">
        <f>D367</f>
        <v>28968821</v>
      </c>
      <c r="D448" s="179"/>
    </row>
    <row r="449" spans="1:7" ht="12.6" customHeight="1" x14ac:dyDescent="0.25">
      <c r="A449" s="203"/>
      <c r="B449" s="203"/>
      <c r="C449" s="203"/>
      <c r="D449" s="203"/>
      <c r="F449" s="203"/>
      <c r="G449" s="203"/>
    </row>
    <row r="450" spans="1:7" ht="12.6" customHeight="1" x14ac:dyDescent="0.25">
      <c r="A450" s="180" t="s">
        <v>481</v>
      </c>
      <c r="B450" s="181" t="s">
        <v>482</v>
      </c>
      <c r="C450" s="203"/>
      <c r="D450" s="203"/>
      <c r="F450" s="203"/>
      <c r="G450" s="203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642</v>
      </c>
    </row>
    <row r="454" spans="1:7" ht="12.6" customHeight="1" x14ac:dyDescent="0.25">
      <c r="A454" s="179" t="s">
        <v>168</v>
      </c>
      <c r="B454" s="179">
        <f>C233</f>
        <v>1768538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1844831</v>
      </c>
      <c r="C455" s="179"/>
      <c r="D455" s="179"/>
    </row>
    <row r="456" spans="1:7" ht="12.6" customHeight="1" x14ac:dyDescent="0.25">
      <c r="A456" s="203"/>
      <c r="B456" s="203"/>
      <c r="C456" s="203"/>
      <c r="D456" s="203"/>
      <c r="F456" s="203"/>
      <c r="G456" s="203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2800000</v>
      </c>
      <c r="C458" s="194">
        <f>CE70</f>
        <v>1869733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3"/>
      <c r="B460" s="203"/>
      <c r="C460" s="203"/>
      <c r="D460" s="203"/>
      <c r="F460" s="203"/>
      <c r="G460" s="203"/>
    </row>
    <row r="461" spans="1:7" ht="12.6" customHeight="1" x14ac:dyDescent="0.25">
      <c r="A461" s="179" t="s">
        <v>488</v>
      </c>
      <c r="B461" s="181"/>
      <c r="C461" s="181"/>
      <c r="D461" s="181" t="s">
        <v>981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12106116</v>
      </c>
      <c r="C463" s="194">
        <f>CE73</f>
        <v>10410389</v>
      </c>
      <c r="D463" s="194">
        <f>E141+E147+E153</f>
        <v>12106116</v>
      </c>
    </row>
    <row r="464" spans="1:7" ht="12.6" customHeight="1" x14ac:dyDescent="0.25">
      <c r="A464" s="179" t="s">
        <v>246</v>
      </c>
      <c r="B464" s="194">
        <f>C360</f>
        <v>26211704</v>
      </c>
      <c r="C464" s="194">
        <f>CE74</f>
        <v>20821578</v>
      </c>
      <c r="D464" s="194">
        <f>E142+E148+E154</f>
        <v>26211701</v>
      </c>
    </row>
    <row r="465" spans="1:7" ht="12.6" customHeight="1" x14ac:dyDescent="0.25">
      <c r="A465" s="179" t="s">
        <v>247</v>
      </c>
      <c r="B465" s="194">
        <f>D361</f>
        <v>38317820</v>
      </c>
      <c r="C465" s="194">
        <f>CE75</f>
        <v>31231967</v>
      </c>
      <c r="D465" s="194">
        <f>D463+D464</f>
        <v>38317817</v>
      </c>
    </row>
    <row r="466" spans="1:7" ht="12.6" customHeight="1" x14ac:dyDescent="0.25">
      <c r="A466" s="203"/>
      <c r="B466" s="203"/>
      <c r="C466" s="203"/>
      <c r="D466" s="203"/>
      <c r="F466" s="203"/>
      <c r="G466" s="203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2862934</v>
      </c>
      <c r="C468" s="179">
        <f>E195</f>
        <v>5725868</v>
      </c>
      <c r="D468" s="179"/>
    </row>
    <row r="469" spans="1:7" ht="12.6" customHeight="1" x14ac:dyDescent="0.25">
      <c r="A469" s="179" t="s">
        <v>333</v>
      </c>
      <c r="B469" s="179">
        <f t="shared" si="14"/>
        <v>206831</v>
      </c>
      <c r="C469" s="179">
        <f>E196</f>
        <v>413661</v>
      </c>
      <c r="D469" s="179"/>
    </row>
    <row r="470" spans="1:7" ht="12.6" customHeight="1" x14ac:dyDescent="0.25">
      <c r="A470" s="179" t="s">
        <v>334</v>
      </c>
      <c r="B470" s="179">
        <f t="shared" si="14"/>
        <v>20319141</v>
      </c>
      <c r="C470" s="179">
        <f>E197</f>
        <v>40638281</v>
      </c>
      <c r="D470" s="179"/>
    </row>
    <row r="471" spans="1:7" ht="12.6" customHeight="1" x14ac:dyDescent="0.25">
      <c r="A471" s="179" t="s">
        <v>494</v>
      </c>
      <c r="B471" s="179">
        <f t="shared" si="14"/>
        <v>1795428</v>
      </c>
      <c r="C471" s="179">
        <f>E198</f>
        <v>3590856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8695123</v>
      </c>
      <c r="C473" s="179">
        <f>SUM(E200:E201)</f>
        <v>17390246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" customHeight="1" x14ac:dyDescent="0.25">
      <c r="A476" s="179" t="s">
        <v>203</v>
      </c>
      <c r="B476" s="179">
        <f>D275</f>
        <v>33879457</v>
      </c>
      <c r="C476" s="179">
        <f>E204</f>
        <v>67758912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21955161</v>
      </c>
      <c r="C478" s="179">
        <f>E217</f>
        <v>43910319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14539284</v>
      </c>
    </row>
    <row r="482" spans="1:12" ht="12.6" customHeight="1" x14ac:dyDescent="0.25">
      <c r="A482" s="180" t="s">
        <v>499</v>
      </c>
      <c r="C482" s="180">
        <f>D339</f>
        <v>14539284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042</v>
      </c>
      <c r="B493" s="257" t="str">
        <f>RIGHT('Prior Year'!C82,4)</f>
        <v>2018</v>
      </c>
      <c r="C493" s="257" t="str">
        <f>RIGHT(C82,4)</f>
        <v>2019</v>
      </c>
      <c r="D493" s="257" t="str">
        <f>RIGHT('Prior Year'!C82,4)</f>
        <v>2018</v>
      </c>
      <c r="E493" s="257" t="str">
        <f>RIGHT(C82,4)</f>
        <v>2019</v>
      </c>
      <c r="F493" s="257" t="str">
        <f>RIGHT('Prior Year'!C82,4)</f>
        <v>2018</v>
      </c>
      <c r="G493" s="257" t="str">
        <f>RIGHT(C82,4)</f>
        <v>2019</v>
      </c>
      <c r="H493" s="257"/>
      <c r="K493" s="257"/>
      <c r="L493" s="257"/>
    </row>
    <row r="494" spans="1:12" ht="12.6" customHeight="1" x14ac:dyDescent="0.25">
      <c r="A494" s="198"/>
      <c r="B494" s="181" t="s">
        <v>505</v>
      </c>
      <c r="C494" s="181" t="s">
        <v>505</v>
      </c>
      <c r="D494" s="258" t="s">
        <v>506</v>
      </c>
      <c r="E494" s="258" t="s">
        <v>506</v>
      </c>
      <c r="F494" s="257" t="s">
        <v>507</v>
      </c>
      <c r="G494" s="257" t="s">
        <v>507</v>
      </c>
      <c r="H494" s="257" t="s">
        <v>508</v>
      </c>
      <c r="K494" s="257"/>
      <c r="L494" s="257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57" t="s">
        <v>510</v>
      </c>
      <c r="G495" s="257" t="s">
        <v>510</v>
      </c>
      <c r="H495" s="257" t="s">
        <v>511</v>
      </c>
      <c r="K495" s="257"/>
      <c r="L495" s="257"/>
    </row>
    <row r="496" spans="1:12" ht="12.6" customHeight="1" x14ac:dyDescent="0.25">
      <c r="A496" s="180" t="s">
        <v>512</v>
      </c>
      <c r="B496" s="236">
        <f>'Prior Year'!C71</f>
        <v>0</v>
      </c>
      <c r="C496" s="236">
        <f>C71</f>
        <v>0</v>
      </c>
      <c r="D496" s="236">
        <f>'Prior Year'!C59</f>
        <v>0</v>
      </c>
      <c r="E496" s="180">
        <f>C59</f>
        <v>0</v>
      </c>
      <c r="F496" s="259" t="str">
        <f t="shared" ref="F496:G511" si="15">IF(B496=0,"",IF(D496=0,"",B496/D496))</f>
        <v/>
      </c>
      <c r="G496" s="260" t="str">
        <f t="shared" si="15"/>
        <v/>
      </c>
      <c r="H496" s="261" t="str">
        <f>IF(B496=0,"",IF(C496=0,"",IF(D496=0,"",IF(E496=0,"",IF(G496/F496-1&lt;-0.25,G496/F496-1,IF(G496/F496-1&gt;0.25,G496/F496-1,""))))))</f>
        <v/>
      </c>
      <c r="I496" s="263"/>
      <c r="K496" s="257"/>
      <c r="L496" s="257"/>
    </row>
    <row r="497" spans="1:12" ht="12.6" customHeight="1" x14ac:dyDescent="0.25">
      <c r="A497" s="180" t="s">
        <v>513</v>
      </c>
      <c r="B497" s="236">
        <f>'Prior Year'!D71</f>
        <v>0</v>
      </c>
      <c r="C497" s="236">
        <f>D71</f>
        <v>0</v>
      </c>
      <c r="D497" s="236">
        <f>'Prior Year'!D59</f>
        <v>0</v>
      </c>
      <c r="E497" s="180">
        <f>D59</f>
        <v>0</v>
      </c>
      <c r="F497" s="259" t="str">
        <f t="shared" si="15"/>
        <v/>
      </c>
      <c r="G497" s="259" t="str">
        <f t="shared" si="15"/>
        <v/>
      </c>
      <c r="H497" s="261" t="str">
        <f t="shared" ref="H497:H550" si="16">IF(B497=0,"",IF(C497=0,"",IF(D497=0,"",IF(E497=0,"",IF(G497/F497-1&lt;-0.25,G497/F497-1,IF(G497/F497-1&gt;0.25,G497/F497-1,""))))))</f>
        <v/>
      </c>
      <c r="I497" s="263"/>
      <c r="K497" s="257"/>
      <c r="L497" s="257"/>
    </row>
    <row r="498" spans="1:12" ht="12.6" customHeight="1" x14ac:dyDescent="0.25">
      <c r="A498" s="180" t="s">
        <v>514</v>
      </c>
      <c r="B498" s="236">
        <f>'Prior Year'!E71</f>
        <v>2456544</v>
      </c>
      <c r="C498" s="236">
        <f>E71</f>
        <v>2550318</v>
      </c>
      <c r="D498" s="236">
        <f>'Prior Year'!E59</f>
        <v>694</v>
      </c>
      <c r="E498" s="180">
        <f>E59</f>
        <v>619</v>
      </c>
      <c r="F498" s="259">
        <f t="shared" si="15"/>
        <v>3539.6887608069164</v>
      </c>
      <c r="G498" s="259">
        <f t="shared" si="15"/>
        <v>4120.0613893376412</v>
      </c>
      <c r="H498" s="261" t="str">
        <f t="shared" si="16"/>
        <v/>
      </c>
      <c r="I498" s="263"/>
      <c r="K498" s="257"/>
      <c r="L498" s="257"/>
    </row>
    <row r="499" spans="1:12" ht="12.6" customHeight="1" x14ac:dyDescent="0.25">
      <c r="A499" s="180" t="s">
        <v>515</v>
      </c>
      <c r="B499" s="236">
        <f>'Prior Year'!F71</f>
        <v>0</v>
      </c>
      <c r="C499" s="236">
        <f>F71</f>
        <v>0</v>
      </c>
      <c r="D499" s="236">
        <f>'Prior Year'!F59</f>
        <v>0</v>
      </c>
      <c r="E499" s="180">
        <f>F59</f>
        <v>0</v>
      </c>
      <c r="F499" s="259" t="str">
        <f t="shared" si="15"/>
        <v/>
      </c>
      <c r="G499" s="259" t="str">
        <f t="shared" si="15"/>
        <v/>
      </c>
      <c r="H499" s="261" t="str">
        <f t="shared" si="16"/>
        <v/>
      </c>
      <c r="I499" s="263"/>
      <c r="K499" s="257"/>
      <c r="L499" s="257"/>
    </row>
    <row r="500" spans="1:12" ht="12.6" customHeight="1" x14ac:dyDescent="0.25">
      <c r="A500" s="180" t="s">
        <v>516</v>
      </c>
      <c r="B500" s="236">
        <f>'Prior Year'!G71</f>
        <v>0</v>
      </c>
      <c r="C500" s="236">
        <f>G71</f>
        <v>0</v>
      </c>
      <c r="D500" s="236">
        <f>'Prior Year'!G59</f>
        <v>0</v>
      </c>
      <c r="E500" s="180">
        <f>G59</f>
        <v>0</v>
      </c>
      <c r="F500" s="259" t="str">
        <f t="shared" si="15"/>
        <v/>
      </c>
      <c r="G500" s="259" t="str">
        <f t="shared" si="15"/>
        <v/>
      </c>
      <c r="H500" s="261" t="str">
        <f t="shared" si="16"/>
        <v/>
      </c>
      <c r="I500" s="263"/>
      <c r="K500" s="257"/>
      <c r="L500" s="257"/>
    </row>
    <row r="501" spans="1:12" ht="12.6" customHeight="1" x14ac:dyDescent="0.25">
      <c r="A501" s="180" t="s">
        <v>517</v>
      </c>
      <c r="B501" s="236">
        <f>'Prior Year'!H71</f>
        <v>0</v>
      </c>
      <c r="C501" s="236">
        <f>H71</f>
        <v>0</v>
      </c>
      <c r="D501" s="236">
        <f>'Prior Year'!H59</f>
        <v>0</v>
      </c>
      <c r="E501" s="180">
        <f>H59</f>
        <v>0</v>
      </c>
      <c r="F501" s="259" t="str">
        <f t="shared" si="15"/>
        <v/>
      </c>
      <c r="G501" s="259" t="str">
        <f t="shared" si="15"/>
        <v/>
      </c>
      <c r="H501" s="261" t="str">
        <f t="shared" si="16"/>
        <v/>
      </c>
      <c r="I501" s="263"/>
      <c r="K501" s="257"/>
      <c r="L501" s="257"/>
    </row>
    <row r="502" spans="1:12" ht="12.6" customHeight="1" x14ac:dyDescent="0.25">
      <c r="A502" s="180" t="s">
        <v>518</v>
      </c>
      <c r="B502" s="236">
        <f>'Prior Year'!I71</f>
        <v>0</v>
      </c>
      <c r="C502" s="236">
        <f>I71</f>
        <v>0</v>
      </c>
      <c r="D502" s="236">
        <f>'Prior Year'!I59</f>
        <v>0</v>
      </c>
      <c r="E502" s="180">
        <f>I59</f>
        <v>0</v>
      </c>
      <c r="F502" s="259" t="str">
        <f t="shared" si="15"/>
        <v/>
      </c>
      <c r="G502" s="259" t="str">
        <f t="shared" si="15"/>
        <v/>
      </c>
      <c r="H502" s="261" t="str">
        <f t="shared" si="16"/>
        <v/>
      </c>
      <c r="I502" s="263"/>
      <c r="K502" s="257"/>
      <c r="L502" s="257"/>
    </row>
    <row r="503" spans="1:12" ht="12.6" customHeight="1" x14ac:dyDescent="0.25">
      <c r="A503" s="180" t="s">
        <v>519</v>
      </c>
      <c r="B503" s="236">
        <f>'Prior Year'!J71</f>
        <v>0</v>
      </c>
      <c r="C503" s="236">
        <f>J71</f>
        <v>0</v>
      </c>
      <c r="D503" s="236">
        <f>'Prior Year'!J59</f>
        <v>0</v>
      </c>
      <c r="E503" s="180">
        <f>J59</f>
        <v>0</v>
      </c>
      <c r="F503" s="259" t="str">
        <f t="shared" si="15"/>
        <v/>
      </c>
      <c r="G503" s="259" t="str">
        <f t="shared" si="15"/>
        <v/>
      </c>
      <c r="H503" s="261" t="str">
        <f t="shared" si="16"/>
        <v/>
      </c>
      <c r="I503" s="263"/>
      <c r="K503" s="257"/>
      <c r="L503" s="257"/>
    </row>
    <row r="504" spans="1:12" ht="12.6" customHeight="1" x14ac:dyDescent="0.25">
      <c r="A504" s="180" t="s">
        <v>520</v>
      </c>
      <c r="B504" s="236">
        <f>'Prior Year'!K71</f>
        <v>0</v>
      </c>
      <c r="C504" s="236">
        <f>K71</f>
        <v>0</v>
      </c>
      <c r="D504" s="236">
        <f>'Prior Year'!K59</f>
        <v>0</v>
      </c>
      <c r="E504" s="180">
        <f>K59</f>
        <v>0</v>
      </c>
      <c r="F504" s="259" t="str">
        <f t="shared" si="15"/>
        <v/>
      </c>
      <c r="G504" s="259" t="str">
        <f t="shared" si="15"/>
        <v/>
      </c>
      <c r="H504" s="261" t="str">
        <f t="shared" si="16"/>
        <v/>
      </c>
      <c r="I504" s="263"/>
      <c r="K504" s="257"/>
      <c r="L504" s="257"/>
    </row>
    <row r="505" spans="1:12" ht="12.6" customHeight="1" x14ac:dyDescent="0.25">
      <c r="A505" s="180" t="s">
        <v>521</v>
      </c>
      <c r="B505" s="236">
        <f>'Prior Year'!L71</f>
        <v>0</v>
      </c>
      <c r="C505" s="236">
        <f>L71</f>
        <v>0</v>
      </c>
      <c r="D505" s="236">
        <f>'Prior Year'!L59</f>
        <v>0</v>
      </c>
      <c r="E505" s="180">
        <f>L59</f>
        <v>0</v>
      </c>
      <c r="F505" s="259" t="str">
        <f t="shared" si="15"/>
        <v/>
      </c>
      <c r="G505" s="259" t="str">
        <f t="shared" si="15"/>
        <v/>
      </c>
      <c r="H505" s="261" t="str">
        <f t="shared" si="16"/>
        <v/>
      </c>
      <c r="I505" s="263"/>
      <c r="K505" s="257"/>
      <c r="L505" s="257"/>
    </row>
    <row r="506" spans="1:12" ht="12.6" customHeight="1" x14ac:dyDescent="0.25">
      <c r="A506" s="180" t="s">
        <v>522</v>
      </c>
      <c r="B506" s="236">
        <f>'Prior Year'!M71</f>
        <v>0</v>
      </c>
      <c r="C506" s="236">
        <f>M71</f>
        <v>0</v>
      </c>
      <c r="D506" s="236">
        <f>'Prior Year'!M59</f>
        <v>0</v>
      </c>
      <c r="E506" s="180">
        <f>M59</f>
        <v>0</v>
      </c>
      <c r="F506" s="259" t="str">
        <f t="shared" si="15"/>
        <v/>
      </c>
      <c r="G506" s="259" t="str">
        <f t="shared" si="15"/>
        <v/>
      </c>
      <c r="H506" s="261" t="str">
        <f t="shared" si="16"/>
        <v/>
      </c>
      <c r="I506" s="263"/>
      <c r="K506" s="257"/>
      <c r="L506" s="257"/>
    </row>
    <row r="507" spans="1:12" ht="12.6" customHeight="1" x14ac:dyDescent="0.25">
      <c r="A507" s="180" t="s">
        <v>523</v>
      </c>
      <c r="B507" s="236">
        <f>'Prior Year'!N71</f>
        <v>0</v>
      </c>
      <c r="C507" s="236">
        <f>N71</f>
        <v>0</v>
      </c>
      <c r="D507" s="236">
        <f>'Prior Year'!N59</f>
        <v>0</v>
      </c>
      <c r="E507" s="180">
        <f>N59</f>
        <v>0</v>
      </c>
      <c r="F507" s="259" t="str">
        <f t="shared" si="15"/>
        <v/>
      </c>
      <c r="G507" s="259" t="str">
        <f t="shared" si="15"/>
        <v/>
      </c>
      <c r="H507" s="261" t="str">
        <f t="shared" si="16"/>
        <v/>
      </c>
      <c r="I507" s="263"/>
      <c r="K507" s="257"/>
      <c r="L507" s="257"/>
    </row>
    <row r="508" spans="1:12" ht="12.6" customHeight="1" x14ac:dyDescent="0.25">
      <c r="A508" s="180" t="s">
        <v>524</v>
      </c>
      <c r="B508" s="236">
        <f>'Prior Year'!O71</f>
        <v>0</v>
      </c>
      <c r="C508" s="236">
        <f>O71</f>
        <v>0</v>
      </c>
      <c r="D508" s="236">
        <f>'Prior Year'!O59</f>
        <v>0</v>
      </c>
      <c r="E508" s="180">
        <f>O59</f>
        <v>0</v>
      </c>
      <c r="F508" s="259" t="str">
        <f t="shared" si="15"/>
        <v/>
      </c>
      <c r="G508" s="259" t="str">
        <f t="shared" si="15"/>
        <v/>
      </c>
      <c r="H508" s="261" t="str">
        <f t="shared" si="16"/>
        <v/>
      </c>
      <c r="I508" s="263"/>
      <c r="K508" s="257"/>
      <c r="L508" s="257"/>
    </row>
    <row r="509" spans="1:12" ht="12.6" customHeight="1" x14ac:dyDescent="0.25">
      <c r="A509" s="180" t="s">
        <v>525</v>
      </c>
      <c r="B509" s="236">
        <f>'Prior Year'!P71</f>
        <v>2698764</v>
      </c>
      <c r="C509" s="236">
        <f>P71</f>
        <v>2333615</v>
      </c>
      <c r="D509" s="236">
        <f>'Prior Year'!P59</f>
        <v>0</v>
      </c>
      <c r="E509" s="180">
        <f>P59</f>
        <v>0</v>
      </c>
      <c r="F509" s="259" t="str">
        <f t="shared" si="15"/>
        <v/>
      </c>
      <c r="G509" s="259" t="str">
        <f t="shared" si="15"/>
        <v/>
      </c>
      <c r="H509" s="261" t="str">
        <f t="shared" si="16"/>
        <v/>
      </c>
      <c r="I509" s="263"/>
      <c r="K509" s="257"/>
      <c r="L509" s="257"/>
    </row>
    <row r="510" spans="1:12" ht="12.6" customHeight="1" x14ac:dyDescent="0.25">
      <c r="A510" s="180" t="s">
        <v>526</v>
      </c>
      <c r="B510" s="236">
        <f>'Prior Year'!Q71</f>
        <v>258394</v>
      </c>
      <c r="C510" s="236">
        <f>Q71</f>
        <v>311560</v>
      </c>
      <c r="D510" s="236">
        <f>'Prior Year'!Q59</f>
        <v>0</v>
      </c>
      <c r="E510" s="180">
        <f>Q59</f>
        <v>0</v>
      </c>
      <c r="F510" s="259" t="str">
        <f t="shared" si="15"/>
        <v/>
      </c>
      <c r="G510" s="259" t="str">
        <f t="shared" si="15"/>
        <v/>
      </c>
      <c r="H510" s="261" t="str">
        <f t="shared" si="16"/>
        <v/>
      </c>
      <c r="I510" s="263"/>
      <c r="K510" s="257"/>
      <c r="L510" s="257"/>
    </row>
    <row r="511" spans="1:12" ht="12.6" customHeight="1" x14ac:dyDescent="0.25">
      <c r="A511" s="180" t="s">
        <v>527</v>
      </c>
      <c r="B511" s="236">
        <f>'Prior Year'!R71</f>
        <v>2391009</v>
      </c>
      <c r="C511" s="236">
        <f>R71</f>
        <v>2481001</v>
      </c>
      <c r="D511" s="236">
        <f>'Prior Year'!R59</f>
        <v>0</v>
      </c>
      <c r="E511" s="180">
        <f>R59</f>
        <v>0</v>
      </c>
      <c r="F511" s="259" t="str">
        <f t="shared" si="15"/>
        <v/>
      </c>
      <c r="G511" s="259" t="str">
        <f t="shared" si="15"/>
        <v/>
      </c>
      <c r="H511" s="261" t="str">
        <f t="shared" si="16"/>
        <v/>
      </c>
      <c r="I511" s="263"/>
      <c r="K511" s="257"/>
      <c r="L511" s="257"/>
    </row>
    <row r="512" spans="1:12" ht="12.6" customHeight="1" x14ac:dyDescent="0.25">
      <c r="A512" s="180" t="s">
        <v>528</v>
      </c>
      <c r="B512" s="236">
        <f>'Prior Year'!S71</f>
        <v>145239</v>
      </c>
      <c r="C512" s="236">
        <f>S71</f>
        <v>145955</v>
      </c>
      <c r="D512" s="181" t="s">
        <v>529</v>
      </c>
      <c r="E512" s="181" t="s">
        <v>529</v>
      </c>
      <c r="F512" s="259" t="str">
        <f t="shared" ref="F512:G527" si="17">IF(B512=0,"",IF(D512=0,"",B512/D512))</f>
        <v/>
      </c>
      <c r="G512" s="259" t="str">
        <f t="shared" si="17"/>
        <v/>
      </c>
      <c r="H512" s="261" t="str">
        <f t="shared" si="16"/>
        <v/>
      </c>
      <c r="I512" s="263"/>
      <c r="K512" s="257"/>
      <c r="L512" s="257"/>
    </row>
    <row r="513" spans="1:12" ht="12.6" customHeight="1" x14ac:dyDescent="0.25">
      <c r="A513" s="180" t="s">
        <v>982</v>
      </c>
      <c r="B513" s="236">
        <f>'Prior Year'!T71</f>
        <v>0</v>
      </c>
      <c r="C513" s="236">
        <f>T71</f>
        <v>0</v>
      </c>
      <c r="D513" s="181" t="s">
        <v>529</v>
      </c>
      <c r="E513" s="181" t="s">
        <v>529</v>
      </c>
      <c r="F513" s="259" t="str">
        <f t="shared" si="17"/>
        <v/>
      </c>
      <c r="G513" s="259" t="str">
        <f t="shared" si="17"/>
        <v/>
      </c>
      <c r="H513" s="261" t="str">
        <f t="shared" si="16"/>
        <v/>
      </c>
      <c r="I513" s="263"/>
      <c r="K513" s="257"/>
      <c r="L513" s="257"/>
    </row>
    <row r="514" spans="1:12" ht="12.6" customHeight="1" x14ac:dyDescent="0.25">
      <c r="A514" s="180" t="s">
        <v>530</v>
      </c>
      <c r="B514" s="236">
        <f>'Prior Year'!U71</f>
        <v>173839</v>
      </c>
      <c r="C514" s="236">
        <f>U71</f>
        <v>146970</v>
      </c>
      <c r="D514" s="236">
        <f>'Prior Year'!U59</f>
        <v>0</v>
      </c>
      <c r="E514" s="180">
        <f>U59</f>
        <v>0</v>
      </c>
      <c r="F514" s="259" t="str">
        <f t="shared" si="17"/>
        <v/>
      </c>
      <c r="G514" s="259" t="str">
        <f t="shared" si="17"/>
        <v/>
      </c>
      <c r="H514" s="261" t="str">
        <f t="shared" si="16"/>
        <v/>
      </c>
      <c r="I514" s="263"/>
      <c r="K514" s="257"/>
      <c r="L514" s="257"/>
    </row>
    <row r="515" spans="1:12" ht="12.6" customHeight="1" x14ac:dyDescent="0.25">
      <c r="A515" s="180" t="s">
        <v>531</v>
      </c>
      <c r="B515" s="236">
        <f>'Prior Year'!V71</f>
        <v>0</v>
      </c>
      <c r="C515" s="236">
        <f>V71</f>
        <v>0</v>
      </c>
      <c r="D515" s="236">
        <f>'Prior Year'!V59</f>
        <v>0</v>
      </c>
      <c r="E515" s="180">
        <f>V59</f>
        <v>0</v>
      </c>
      <c r="F515" s="259" t="str">
        <f t="shared" si="17"/>
        <v/>
      </c>
      <c r="G515" s="259" t="str">
        <f t="shared" si="17"/>
        <v/>
      </c>
      <c r="H515" s="261" t="str">
        <f t="shared" si="16"/>
        <v/>
      </c>
      <c r="I515" s="263"/>
      <c r="K515" s="257"/>
      <c r="L515" s="257"/>
    </row>
    <row r="516" spans="1:12" ht="12.6" customHeight="1" x14ac:dyDescent="0.25">
      <c r="A516" s="180" t="s">
        <v>532</v>
      </c>
      <c r="B516" s="236">
        <f>'Prior Year'!W71</f>
        <v>0</v>
      </c>
      <c r="C516" s="236">
        <f>W71</f>
        <v>0</v>
      </c>
      <c r="D516" s="236">
        <f>'Prior Year'!W59</f>
        <v>0</v>
      </c>
      <c r="E516" s="180">
        <f>W59</f>
        <v>0</v>
      </c>
      <c r="F516" s="259" t="str">
        <f t="shared" si="17"/>
        <v/>
      </c>
      <c r="G516" s="259" t="str">
        <f t="shared" si="17"/>
        <v/>
      </c>
      <c r="H516" s="261" t="str">
        <f t="shared" si="16"/>
        <v/>
      </c>
      <c r="I516" s="263"/>
      <c r="K516" s="257"/>
      <c r="L516" s="257"/>
    </row>
    <row r="517" spans="1:12" ht="12.6" customHeight="1" x14ac:dyDescent="0.25">
      <c r="A517" s="180" t="s">
        <v>533</v>
      </c>
      <c r="B517" s="236">
        <f>'Prior Year'!X71</f>
        <v>0</v>
      </c>
      <c r="C517" s="236">
        <f>X71</f>
        <v>0</v>
      </c>
      <c r="D517" s="236">
        <f>'Prior Year'!X59</f>
        <v>0</v>
      </c>
      <c r="E517" s="180">
        <f>X59</f>
        <v>0</v>
      </c>
      <c r="F517" s="259" t="str">
        <f t="shared" si="17"/>
        <v/>
      </c>
      <c r="G517" s="259" t="str">
        <f t="shared" si="17"/>
        <v/>
      </c>
      <c r="H517" s="261" t="str">
        <f t="shared" si="16"/>
        <v/>
      </c>
      <c r="I517" s="263"/>
      <c r="K517" s="257"/>
      <c r="L517" s="257"/>
    </row>
    <row r="518" spans="1:12" ht="12.6" customHeight="1" x14ac:dyDescent="0.25">
      <c r="A518" s="180" t="s">
        <v>534</v>
      </c>
      <c r="B518" s="236">
        <f>'Prior Year'!Y71</f>
        <v>447573</v>
      </c>
      <c r="C518" s="236">
        <f>Y71</f>
        <v>475746</v>
      </c>
      <c r="D518" s="236">
        <f>'Prior Year'!Y59</f>
        <v>0</v>
      </c>
      <c r="E518" s="180">
        <f>Y59</f>
        <v>0</v>
      </c>
      <c r="F518" s="259" t="str">
        <f t="shared" si="17"/>
        <v/>
      </c>
      <c r="G518" s="259" t="str">
        <f t="shared" si="17"/>
        <v/>
      </c>
      <c r="H518" s="261" t="str">
        <f t="shared" si="16"/>
        <v/>
      </c>
      <c r="I518" s="263"/>
      <c r="K518" s="257"/>
      <c r="L518" s="257"/>
    </row>
    <row r="519" spans="1:12" ht="12.6" customHeight="1" x14ac:dyDescent="0.25">
      <c r="A519" s="180" t="s">
        <v>535</v>
      </c>
      <c r="B519" s="236">
        <f>'Prior Year'!Z71</f>
        <v>0</v>
      </c>
      <c r="C519" s="236">
        <f>Z71</f>
        <v>0</v>
      </c>
      <c r="D519" s="236">
        <f>'Prior Year'!Z59</f>
        <v>0</v>
      </c>
      <c r="E519" s="180">
        <f>Z59</f>
        <v>0</v>
      </c>
      <c r="F519" s="259" t="str">
        <f t="shared" si="17"/>
        <v/>
      </c>
      <c r="G519" s="259" t="str">
        <f t="shared" si="17"/>
        <v/>
      </c>
      <c r="H519" s="261" t="str">
        <f t="shared" si="16"/>
        <v/>
      </c>
      <c r="I519" s="263"/>
      <c r="K519" s="257"/>
      <c r="L519" s="257"/>
    </row>
    <row r="520" spans="1:12" ht="12.6" customHeight="1" x14ac:dyDescent="0.25">
      <c r="A520" s="180" t="s">
        <v>536</v>
      </c>
      <c r="B520" s="236">
        <f>'Prior Year'!AA71</f>
        <v>0</v>
      </c>
      <c r="C520" s="236">
        <f>AA71</f>
        <v>0</v>
      </c>
      <c r="D520" s="236">
        <f>'Prior Year'!AA59</f>
        <v>0</v>
      </c>
      <c r="E520" s="180">
        <f>AA59</f>
        <v>0</v>
      </c>
      <c r="F520" s="259" t="str">
        <f t="shared" si="17"/>
        <v/>
      </c>
      <c r="G520" s="259" t="str">
        <f t="shared" si="17"/>
        <v/>
      </c>
      <c r="H520" s="261" t="str">
        <f t="shared" si="16"/>
        <v/>
      </c>
      <c r="I520" s="263"/>
      <c r="K520" s="257"/>
      <c r="L520" s="257"/>
    </row>
    <row r="521" spans="1:12" ht="12.6" customHeight="1" x14ac:dyDescent="0.25">
      <c r="A521" s="180" t="s">
        <v>537</v>
      </c>
      <c r="B521" s="236">
        <f>'Prior Year'!AB71</f>
        <v>352622</v>
      </c>
      <c r="C521" s="236">
        <f>AB71</f>
        <v>355359</v>
      </c>
      <c r="D521" s="181" t="s">
        <v>529</v>
      </c>
      <c r="E521" s="181" t="s">
        <v>529</v>
      </c>
      <c r="F521" s="259" t="str">
        <f t="shared" si="17"/>
        <v/>
      </c>
      <c r="G521" s="259" t="str">
        <f t="shared" si="17"/>
        <v/>
      </c>
      <c r="H521" s="261" t="str">
        <f t="shared" si="16"/>
        <v/>
      </c>
      <c r="I521" s="263"/>
      <c r="K521" s="257"/>
      <c r="L521" s="257"/>
    </row>
    <row r="522" spans="1:12" ht="12.6" customHeight="1" x14ac:dyDescent="0.25">
      <c r="A522" s="180" t="s">
        <v>538</v>
      </c>
      <c r="B522" s="236">
        <f>'Prior Year'!AC71</f>
        <v>377011</v>
      </c>
      <c r="C522" s="236">
        <f>AC71</f>
        <v>433191</v>
      </c>
      <c r="D522" s="236">
        <f>'Prior Year'!AC59</f>
        <v>0</v>
      </c>
      <c r="E522" s="180">
        <f>AC59</f>
        <v>0</v>
      </c>
      <c r="F522" s="259" t="str">
        <f t="shared" si="17"/>
        <v/>
      </c>
      <c r="G522" s="259" t="str">
        <f t="shared" si="17"/>
        <v/>
      </c>
      <c r="H522" s="261" t="str">
        <f t="shared" si="16"/>
        <v/>
      </c>
      <c r="I522" s="263"/>
      <c r="K522" s="257"/>
      <c r="L522" s="257"/>
    </row>
    <row r="523" spans="1:12" ht="12.6" customHeight="1" x14ac:dyDescent="0.25">
      <c r="A523" s="180" t="s">
        <v>539</v>
      </c>
      <c r="B523" s="236">
        <f>'Prior Year'!AD71</f>
        <v>0</v>
      </c>
      <c r="C523" s="236">
        <f>AD71</f>
        <v>0</v>
      </c>
      <c r="D523" s="236">
        <f>'Prior Year'!AD59</f>
        <v>0</v>
      </c>
      <c r="E523" s="180">
        <f>AD59</f>
        <v>0</v>
      </c>
      <c r="F523" s="259" t="str">
        <f t="shared" si="17"/>
        <v/>
      </c>
      <c r="G523" s="259" t="str">
        <f t="shared" si="17"/>
        <v/>
      </c>
      <c r="H523" s="261" t="str">
        <f t="shared" si="16"/>
        <v/>
      </c>
      <c r="I523" s="263"/>
      <c r="K523" s="257"/>
      <c r="L523" s="257"/>
    </row>
    <row r="524" spans="1:12" ht="12.6" customHeight="1" x14ac:dyDescent="0.25">
      <c r="A524" s="180" t="s">
        <v>540</v>
      </c>
      <c r="B524" s="236">
        <f>'Prior Year'!AE71</f>
        <v>548808</v>
      </c>
      <c r="C524" s="236">
        <f>AE71</f>
        <v>572218</v>
      </c>
      <c r="D524" s="236">
        <f>'Prior Year'!AE59</f>
        <v>0</v>
      </c>
      <c r="E524" s="180">
        <f>AE59</f>
        <v>0</v>
      </c>
      <c r="F524" s="259" t="str">
        <f t="shared" si="17"/>
        <v/>
      </c>
      <c r="G524" s="259" t="str">
        <f t="shared" si="17"/>
        <v/>
      </c>
      <c r="H524" s="261" t="str">
        <f t="shared" si="16"/>
        <v/>
      </c>
      <c r="I524" s="263"/>
      <c r="K524" s="257"/>
      <c r="L524" s="257"/>
    </row>
    <row r="525" spans="1:12" ht="12.6" customHeight="1" x14ac:dyDescent="0.25">
      <c r="A525" s="180" t="s">
        <v>541</v>
      </c>
      <c r="B525" s="236">
        <f>'Prior Year'!AF71</f>
        <v>0</v>
      </c>
      <c r="C525" s="236">
        <f>AF71</f>
        <v>0</v>
      </c>
      <c r="D525" s="236">
        <f>'Prior Year'!AF59</f>
        <v>0</v>
      </c>
      <c r="E525" s="180">
        <f>AF59</f>
        <v>0</v>
      </c>
      <c r="F525" s="259" t="str">
        <f t="shared" si="17"/>
        <v/>
      </c>
      <c r="G525" s="259" t="str">
        <f t="shared" si="17"/>
        <v/>
      </c>
      <c r="H525" s="261" t="str">
        <f t="shared" si="16"/>
        <v/>
      </c>
      <c r="I525" s="263"/>
      <c r="K525" s="257"/>
      <c r="L525" s="257"/>
    </row>
    <row r="526" spans="1:12" ht="12.6" customHeight="1" x14ac:dyDescent="0.25">
      <c r="A526" s="180" t="s">
        <v>542</v>
      </c>
      <c r="B526" s="236">
        <f>'Prior Year'!AG71</f>
        <v>0</v>
      </c>
      <c r="C526" s="236">
        <f>AG71</f>
        <v>0</v>
      </c>
      <c r="D526" s="236">
        <f>'Prior Year'!AG59</f>
        <v>0</v>
      </c>
      <c r="E526" s="180">
        <f>AG59</f>
        <v>0</v>
      </c>
      <c r="F526" s="259" t="str">
        <f t="shared" si="17"/>
        <v/>
      </c>
      <c r="G526" s="259" t="str">
        <f t="shared" si="17"/>
        <v/>
      </c>
      <c r="H526" s="261" t="str">
        <f t="shared" si="16"/>
        <v/>
      </c>
      <c r="I526" s="263"/>
      <c r="K526" s="257"/>
      <c r="L526" s="257"/>
    </row>
    <row r="527" spans="1:12" ht="12.6" customHeight="1" x14ac:dyDescent="0.25">
      <c r="A527" s="180" t="s">
        <v>543</v>
      </c>
      <c r="B527" s="236">
        <f>'Prior Year'!AH71</f>
        <v>0</v>
      </c>
      <c r="C527" s="236">
        <f>AH71</f>
        <v>0</v>
      </c>
      <c r="D527" s="236">
        <f>'Prior Year'!AH59</f>
        <v>0</v>
      </c>
      <c r="E527" s="180">
        <f>AH59</f>
        <v>0</v>
      </c>
      <c r="F527" s="259" t="str">
        <f t="shared" si="17"/>
        <v/>
      </c>
      <c r="G527" s="259" t="str">
        <f t="shared" si="17"/>
        <v/>
      </c>
      <c r="H527" s="261" t="str">
        <f t="shared" si="16"/>
        <v/>
      </c>
      <c r="I527" s="263"/>
      <c r="K527" s="257"/>
      <c r="L527" s="257"/>
    </row>
    <row r="528" spans="1:12" ht="12.6" customHeight="1" x14ac:dyDescent="0.25">
      <c r="A528" s="180" t="s">
        <v>544</v>
      </c>
      <c r="B528" s="236">
        <f>'Prior Year'!AI71</f>
        <v>0</v>
      </c>
      <c r="C528" s="236">
        <f>AI71</f>
        <v>0</v>
      </c>
      <c r="D528" s="236">
        <f>'Prior Year'!AI59</f>
        <v>0</v>
      </c>
      <c r="E528" s="180">
        <f>AI59</f>
        <v>0</v>
      </c>
      <c r="F528" s="259" t="str">
        <f t="shared" ref="F528:G540" si="18">IF(B528=0,"",IF(D528=0,"",B528/D528))</f>
        <v/>
      </c>
      <c r="G528" s="259" t="str">
        <f t="shared" si="18"/>
        <v/>
      </c>
      <c r="H528" s="261" t="str">
        <f t="shared" si="16"/>
        <v/>
      </c>
      <c r="I528" s="263"/>
      <c r="K528" s="257"/>
      <c r="L528" s="257"/>
    </row>
    <row r="529" spans="1:12" ht="12.6" customHeight="1" x14ac:dyDescent="0.25">
      <c r="A529" s="180" t="s">
        <v>545</v>
      </c>
      <c r="B529" s="236">
        <f>'Prior Year'!AJ71</f>
        <v>903792</v>
      </c>
      <c r="C529" s="236">
        <f>AJ71</f>
        <v>981587</v>
      </c>
      <c r="D529" s="236">
        <f>'Prior Year'!AJ59</f>
        <v>0</v>
      </c>
      <c r="E529" s="180">
        <f>AJ59</f>
        <v>0</v>
      </c>
      <c r="F529" s="259" t="str">
        <f t="shared" si="18"/>
        <v/>
      </c>
      <c r="G529" s="259" t="str">
        <f t="shared" si="18"/>
        <v/>
      </c>
      <c r="H529" s="261" t="str">
        <f t="shared" si="16"/>
        <v/>
      </c>
      <c r="I529" s="263"/>
      <c r="K529" s="257"/>
      <c r="L529" s="257"/>
    </row>
    <row r="530" spans="1:12" ht="12.6" customHeight="1" x14ac:dyDescent="0.25">
      <c r="A530" s="180" t="s">
        <v>546</v>
      </c>
      <c r="B530" s="236">
        <f>'Prior Year'!AK71</f>
        <v>919548</v>
      </c>
      <c r="C530" s="236">
        <f>AK71</f>
        <v>959245</v>
      </c>
      <c r="D530" s="236">
        <f>'Prior Year'!AK59</f>
        <v>0</v>
      </c>
      <c r="E530" s="180">
        <f>AK59</f>
        <v>0</v>
      </c>
      <c r="F530" s="259" t="str">
        <f t="shared" si="18"/>
        <v/>
      </c>
      <c r="G530" s="259" t="str">
        <f t="shared" si="18"/>
        <v/>
      </c>
      <c r="H530" s="261" t="str">
        <f t="shared" si="16"/>
        <v/>
      </c>
      <c r="I530" s="263"/>
      <c r="K530" s="257"/>
      <c r="L530" s="257"/>
    </row>
    <row r="531" spans="1:12" ht="12.6" customHeight="1" x14ac:dyDescent="0.25">
      <c r="A531" s="180" t="s">
        <v>547</v>
      </c>
      <c r="B531" s="236">
        <f>'Prior Year'!AL71</f>
        <v>0</v>
      </c>
      <c r="C531" s="236">
        <f>AL71</f>
        <v>0</v>
      </c>
      <c r="D531" s="236">
        <f>'Prior Year'!AL59</f>
        <v>0</v>
      </c>
      <c r="E531" s="180">
        <f>AL59</f>
        <v>0</v>
      </c>
      <c r="F531" s="259" t="str">
        <f t="shared" si="18"/>
        <v/>
      </c>
      <c r="G531" s="259" t="str">
        <f t="shared" si="18"/>
        <v/>
      </c>
      <c r="H531" s="261" t="str">
        <f t="shared" si="16"/>
        <v/>
      </c>
      <c r="I531" s="263"/>
      <c r="K531" s="257"/>
      <c r="L531" s="257"/>
    </row>
    <row r="532" spans="1:12" ht="12.6" customHeight="1" x14ac:dyDescent="0.25">
      <c r="A532" s="180" t="s">
        <v>548</v>
      </c>
      <c r="B532" s="236">
        <f>'Prior Year'!AM71</f>
        <v>0</v>
      </c>
      <c r="C532" s="236">
        <f>AM71</f>
        <v>0</v>
      </c>
      <c r="D532" s="236">
        <f>'Prior Year'!AM59</f>
        <v>0</v>
      </c>
      <c r="E532" s="180">
        <f>AM59</f>
        <v>0</v>
      </c>
      <c r="F532" s="259" t="str">
        <f t="shared" si="18"/>
        <v/>
      </c>
      <c r="G532" s="259" t="str">
        <f t="shared" si="18"/>
        <v/>
      </c>
      <c r="H532" s="261" t="str">
        <f t="shared" si="16"/>
        <v/>
      </c>
      <c r="I532" s="263"/>
      <c r="K532" s="257"/>
      <c r="L532" s="257"/>
    </row>
    <row r="533" spans="1:12" ht="12.6" customHeight="1" x14ac:dyDescent="0.25">
      <c r="A533" s="180" t="s">
        <v>983</v>
      </c>
      <c r="B533" s="236">
        <f>'Prior Year'!AN71</f>
        <v>0</v>
      </c>
      <c r="C533" s="236">
        <f>AN71</f>
        <v>0</v>
      </c>
      <c r="D533" s="236">
        <f>'Prior Year'!AN59</f>
        <v>0</v>
      </c>
      <c r="E533" s="180">
        <f>AN59</f>
        <v>0</v>
      </c>
      <c r="F533" s="259" t="str">
        <f t="shared" si="18"/>
        <v/>
      </c>
      <c r="G533" s="259" t="str">
        <f t="shared" si="18"/>
        <v/>
      </c>
      <c r="H533" s="261" t="str">
        <f t="shared" si="16"/>
        <v/>
      </c>
      <c r="I533" s="263"/>
      <c r="K533" s="257"/>
      <c r="L533" s="257"/>
    </row>
    <row r="534" spans="1:12" ht="12.6" customHeight="1" x14ac:dyDescent="0.25">
      <c r="A534" s="180" t="s">
        <v>549</v>
      </c>
      <c r="B534" s="236">
        <f>'Prior Year'!AO71</f>
        <v>0</v>
      </c>
      <c r="C534" s="236">
        <f>AO71</f>
        <v>0</v>
      </c>
      <c r="D534" s="236">
        <f>'Prior Year'!AO59</f>
        <v>0</v>
      </c>
      <c r="E534" s="180">
        <f>AO59</f>
        <v>0</v>
      </c>
      <c r="F534" s="259" t="str">
        <f t="shared" si="18"/>
        <v/>
      </c>
      <c r="G534" s="259" t="str">
        <f t="shared" si="18"/>
        <v/>
      </c>
      <c r="H534" s="261" t="str">
        <f t="shared" si="16"/>
        <v/>
      </c>
      <c r="I534" s="263"/>
      <c r="K534" s="257"/>
      <c r="L534" s="257"/>
    </row>
    <row r="535" spans="1:12" ht="12.6" customHeight="1" x14ac:dyDescent="0.25">
      <c r="A535" s="180" t="s">
        <v>550</v>
      </c>
      <c r="B535" s="236">
        <f>'Prior Year'!AP71</f>
        <v>0</v>
      </c>
      <c r="C535" s="236">
        <f>AP71</f>
        <v>0</v>
      </c>
      <c r="D535" s="236">
        <f>'Prior Year'!AP59</f>
        <v>0</v>
      </c>
      <c r="E535" s="180">
        <f>AP59</f>
        <v>0</v>
      </c>
      <c r="F535" s="259" t="str">
        <f t="shared" si="18"/>
        <v/>
      </c>
      <c r="G535" s="259" t="str">
        <f t="shared" si="18"/>
        <v/>
      </c>
      <c r="H535" s="261" t="str">
        <f t="shared" si="16"/>
        <v/>
      </c>
      <c r="I535" s="263"/>
      <c r="K535" s="257"/>
      <c r="L535" s="257"/>
    </row>
    <row r="536" spans="1:12" ht="12.6" customHeight="1" x14ac:dyDescent="0.25">
      <c r="A536" s="180" t="s">
        <v>551</v>
      </c>
      <c r="B536" s="236">
        <f>'Prior Year'!AQ71</f>
        <v>0</v>
      </c>
      <c r="C536" s="236">
        <f>AQ71</f>
        <v>0</v>
      </c>
      <c r="D536" s="236">
        <f>'Prior Year'!AQ59</f>
        <v>0</v>
      </c>
      <c r="E536" s="180">
        <f>AQ59</f>
        <v>0</v>
      </c>
      <c r="F536" s="259" t="str">
        <f t="shared" si="18"/>
        <v/>
      </c>
      <c r="G536" s="259" t="str">
        <f t="shared" si="18"/>
        <v/>
      </c>
      <c r="H536" s="261" t="str">
        <f t="shared" si="16"/>
        <v/>
      </c>
      <c r="I536" s="263"/>
      <c r="K536" s="257"/>
      <c r="L536" s="257"/>
    </row>
    <row r="537" spans="1:12" ht="12.6" customHeight="1" x14ac:dyDescent="0.25">
      <c r="A537" s="180" t="s">
        <v>552</v>
      </c>
      <c r="B537" s="236">
        <f>'Prior Year'!AR71</f>
        <v>0</v>
      </c>
      <c r="C537" s="236">
        <f>AR71</f>
        <v>0</v>
      </c>
      <c r="D537" s="236">
        <f>'Prior Year'!AR59</f>
        <v>0</v>
      </c>
      <c r="E537" s="180">
        <f>AR59</f>
        <v>0</v>
      </c>
      <c r="F537" s="259" t="str">
        <f t="shared" si="18"/>
        <v/>
      </c>
      <c r="G537" s="259" t="str">
        <f t="shared" si="18"/>
        <v/>
      </c>
      <c r="H537" s="261" t="str">
        <f t="shared" si="16"/>
        <v/>
      </c>
      <c r="I537" s="263"/>
      <c r="K537" s="257"/>
      <c r="L537" s="257"/>
    </row>
    <row r="538" spans="1:12" ht="12.6" customHeight="1" x14ac:dyDescent="0.25">
      <c r="A538" s="180" t="s">
        <v>553</v>
      </c>
      <c r="B538" s="236">
        <f>'Prior Year'!AS71</f>
        <v>0</v>
      </c>
      <c r="C538" s="236">
        <f>AS71</f>
        <v>0</v>
      </c>
      <c r="D538" s="236">
        <f>'Prior Year'!AS59</f>
        <v>0</v>
      </c>
      <c r="E538" s="180">
        <f>AS59</f>
        <v>0</v>
      </c>
      <c r="F538" s="259" t="str">
        <f t="shared" si="18"/>
        <v/>
      </c>
      <c r="G538" s="259" t="str">
        <f t="shared" si="18"/>
        <v/>
      </c>
      <c r="H538" s="261" t="str">
        <f t="shared" si="16"/>
        <v/>
      </c>
      <c r="I538" s="263"/>
      <c r="K538" s="257"/>
      <c r="L538" s="257"/>
    </row>
    <row r="539" spans="1:12" ht="12.6" customHeight="1" x14ac:dyDescent="0.25">
      <c r="A539" s="180" t="s">
        <v>554</v>
      </c>
      <c r="B539" s="236">
        <f>'Prior Year'!AT71</f>
        <v>0</v>
      </c>
      <c r="C539" s="236">
        <f>AT71</f>
        <v>0</v>
      </c>
      <c r="D539" s="236">
        <f>'Prior Year'!AT59</f>
        <v>0</v>
      </c>
      <c r="E539" s="180">
        <f>AT59</f>
        <v>0</v>
      </c>
      <c r="F539" s="259" t="str">
        <f t="shared" si="18"/>
        <v/>
      </c>
      <c r="G539" s="259" t="str">
        <f t="shared" si="18"/>
        <v/>
      </c>
      <c r="H539" s="261" t="str">
        <f t="shared" si="16"/>
        <v/>
      </c>
      <c r="I539" s="263"/>
      <c r="K539" s="257"/>
      <c r="L539" s="257"/>
    </row>
    <row r="540" spans="1:12" ht="12.6" customHeight="1" x14ac:dyDescent="0.25">
      <c r="A540" s="180" t="s">
        <v>555</v>
      </c>
      <c r="B540" s="236">
        <f>'Prior Year'!AU71</f>
        <v>0</v>
      </c>
      <c r="C540" s="236">
        <f>AU71</f>
        <v>0</v>
      </c>
      <c r="D540" s="236">
        <f>'Prior Year'!AU59</f>
        <v>0</v>
      </c>
      <c r="E540" s="180">
        <f>AU59</f>
        <v>0</v>
      </c>
      <c r="F540" s="259" t="str">
        <f t="shared" si="18"/>
        <v/>
      </c>
      <c r="G540" s="259" t="str">
        <f t="shared" si="18"/>
        <v/>
      </c>
      <c r="H540" s="261" t="str">
        <f t="shared" si="16"/>
        <v/>
      </c>
      <c r="I540" s="263"/>
      <c r="K540" s="257"/>
      <c r="L540" s="257"/>
    </row>
    <row r="541" spans="1:12" ht="12.6" customHeight="1" x14ac:dyDescent="0.25">
      <c r="A541" s="180" t="s">
        <v>556</v>
      </c>
      <c r="B541" s="236">
        <f>'Prior Year'!AV71</f>
        <v>0</v>
      </c>
      <c r="C541" s="236">
        <f>AV71</f>
        <v>0</v>
      </c>
      <c r="D541" s="181" t="s">
        <v>529</v>
      </c>
      <c r="E541" s="181" t="s">
        <v>529</v>
      </c>
      <c r="F541" s="259"/>
      <c r="G541" s="259"/>
      <c r="H541" s="261"/>
      <c r="I541" s="263"/>
      <c r="K541" s="257"/>
      <c r="L541" s="257"/>
    </row>
    <row r="542" spans="1:12" ht="12.6" customHeight="1" x14ac:dyDescent="0.25">
      <c r="A542" s="180" t="s">
        <v>984</v>
      </c>
      <c r="B542" s="236">
        <f>'Prior Year'!AW71</f>
        <v>0</v>
      </c>
      <c r="C542" s="236">
        <f>AW71</f>
        <v>0</v>
      </c>
      <c r="D542" s="181" t="s">
        <v>529</v>
      </c>
      <c r="E542" s="181" t="s">
        <v>529</v>
      </c>
      <c r="F542" s="259"/>
      <c r="G542" s="259"/>
      <c r="H542" s="261"/>
      <c r="I542" s="263"/>
      <c r="K542" s="257"/>
      <c r="L542" s="257"/>
    </row>
    <row r="543" spans="1:12" ht="12.6" customHeight="1" x14ac:dyDescent="0.25">
      <c r="A543" s="180" t="s">
        <v>557</v>
      </c>
      <c r="B543" s="236">
        <f>'Prior Year'!AX71</f>
        <v>0</v>
      </c>
      <c r="C543" s="236">
        <f>AX71</f>
        <v>0</v>
      </c>
      <c r="D543" s="181" t="s">
        <v>529</v>
      </c>
      <c r="E543" s="181" t="s">
        <v>529</v>
      </c>
      <c r="F543" s="259"/>
      <c r="G543" s="259"/>
      <c r="H543" s="261"/>
      <c r="I543" s="263"/>
      <c r="K543" s="257"/>
      <c r="L543" s="257"/>
    </row>
    <row r="544" spans="1:12" ht="12.6" customHeight="1" x14ac:dyDescent="0.25">
      <c r="A544" s="180" t="s">
        <v>558</v>
      </c>
      <c r="B544" s="236">
        <f>'Prior Year'!AY71</f>
        <v>51761</v>
      </c>
      <c r="C544" s="236">
        <f>AY71</f>
        <v>50608</v>
      </c>
      <c r="D544" s="236">
        <f>'Prior Year'!AY59</f>
        <v>4740</v>
      </c>
      <c r="E544" s="180">
        <f>AY59</f>
        <v>3493</v>
      </c>
      <c r="F544" s="259">
        <f t="shared" ref="F544:G550" si="19">IF(B544=0,"",IF(D544=0,"",B544/D544))</f>
        <v>10.920042194092828</v>
      </c>
      <c r="G544" s="259">
        <f t="shared" si="19"/>
        <v>14.488405382192957</v>
      </c>
      <c r="H544" s="261">
        <f t="shared" si="16"/>
        <v>0.32677192310029968</v>
      </c>
      <c r="I544" s="263"/>
      <c r="K544" s="257"/>
      <c r="L544" s="257"/>
    </row>
    <row r="545" spans="1:13" ht="12.6" customHeight="1" x14ac:dyDescent="0.25">
      <c r="A545" s="180" t="s">
        <v>559</v>
      </c>
      <c r="B545" s="236">
        <f>'Prior Year'!AZ71</f>
        <v>558640</v>
      </c>
      <c r="C545" s="236">
        <f>AZ71</f>
        <v>334990</v>
      </c>
      <c r="D545" s="236">
        <f>'Prior Year'!AZ59</f>
        <v>19660</v>
      </c>
      <c r="E545" s="180">
        <f>AZ59</f>
        <v>11034</v>
      </c>
      <c r="F545" s="259">
        <f t="shared" si="19"/>
        <v>28.415055951169887</v>
      </c>
      <c r="G545" s="259">
        <f t="shared" si="19"/>
        <v>30.359796991118362</v>
      </c>
      <c r="H545" s="261" t="str">
        <f t="shared" si="16"/>
        <v/>
      </c>
      <c r="I545" s="263"/>
      <c r="K545" s="257"/>
      <c r="L545" s="257"/>
    </row>
    <row r="546" spans="1:13" ht="12.6" customHeight="1" x14ac:dyDescent="0.25">
      <c r="A546" s="180" t="s">
        <v>560</v>
      </c>
      <c r="B546" s="236">
        <f>'Prior Year'!BA71</f>
        <v>85448</v>
      </c>
      <c r="C546" s="236">
        <f>BA71</f>
        <v>18543</v>
      </c>
      <c r="D546" s="236">
        <f>'Prior Year'!BA59</f>
        <v>0</v>
      </c>
      <c r="E546" s="180">
        <f>BA59</f>
        <v>0</v>
      </c>
      <c r="F546" s="259" t="str">
        <f t="shared" si="19"/>
        <v/>
      </c>
      <c r="G546" s="259" t="str">
        <f t="shared" si="19"/>
        <v/>
      </c>
      <c r="H546" s="261" t="str">
        <f t="shared" si="16"/>
        <v/>
      </c>
      <c r="I546" s="263"/>
      <c r="K546" s="257"/>
      <c r="L546" s="257"/>
    </row>
    <row r="547" spans="1:13" ht="12.6" customHeight="1" x14ac:dyDescent="0.25">
      <c r="A547" s="180" t="s">
        <v>561</v>
      </c>
      <c r="B547" s="236">
        <f>'Prior Year'!BB71</f>
        <v>738312</v>
      </c>
      <c r="C547" s="236">
        <f>BB71</f>
        <v>768728</v>
      </c>
      <c r="D547" s="181" t="s">
        <v>529</v>
      </c>
      <c r="E547" s="181" t="s">
        <v>529</v>
      </c>
      <c r="F547" s="259"/>
      <c r="G547" s="259"/>
      <c r="H547" s="261"/>
      <c r="I547" s="263"/>
      <c r="K547" s="257"/>
      <c r="L547" s="257"/>
    </row>
    <row r="548" spans="1:13" ht="12.6" customHeight="1" x14ac:dyDescent="0.25">
      <c r="A548" s="180" t="s">
        <v>562</v>
      </c>
      <c r="B548" s="236">
        <f>'Prior Year'!BC71</f>
        <v>0</v>
      </c>
      <c r="C548" s="236">
        <f>BC71</f>
        <v>0</v>
      </c>
      <c r="D548" s="181" t="s">
        <v>529</v>
      </c>
      <c r="E548" s="181" t="s">
        <v>529</v>
      </c>
      <c r="F548" s="259"/>
      <c r="G548" s="259"/>
      <c r="H548" s="261"/>
      <c r="I548" s="263"/>
      <c r="K548" s="257"/>
      <c r="L548" s="257"/>
    </row>
    <row r="549" spans="1:13" ht="12.6" customHeight="1" x14ac:dyDescent="0.25">
      <c r="A549" s="180" t="s">
        <v>563</v>
      </c>
      <c r="B549" s="236">
        <f>'Prior Year'!BD71</f>
        <v>2879</v>
      </c>
      <c r="C549" s="236">
        <f>BD71</f>
        <v>2815</v>
      </c>
      <c r="D549" s="181" t="s">
        <v>529</v>
      </c>
      <c r="E549" s="181" t="s">
        <v>529</v>
      </c>
      <c r="F549" s="259"/>
      <c r="G549" s="259"/>
      <c r="H549" s="261"/>
      <c r="I549" s="263"/>
      <c r="K549" s="257"/>
      <c r="L549" s="257"/>
    </row>
    <row r="550" spans="1:13" ht="12.6" customHeight="1" x14ac:dyDescent="0.25">
      <c r="A550" s="180" t="s">
        <v>564</v>
      </c>
      <c r="B550" s="236">
        <f>'Prior Year'!BE71</f>
        <v>98610</v>
      </c>
      <c r="C550" s="236">
        <f>BE71</f>
        <v>96414</v>
      </c>
      <c r="D550" s="236">
        <f>'Prior Year'!BE59</f>
        <v>88741</v>
      </c>
      <c r="E550" s="180">
        <f>BE59</f>
        <v>88741</v>
      </c>
      <c r="F550" s="259">
        <f t="shared" si="19"/>
        <v>1.1112112777633789</v>
      </c>
      <c r="G550" s="259">
        <f t="shared" si="19"/>
        <v>1.086465106320641</v>
      </c>
      <c r="H550" s="261" t="str">
        <f t="shared" si="16"/>
        <v/>
      </c>
      <c r="I550" s="263"/>
      <c r="K550" s="257"/>
      <c r="L550" s="257"/>
    </row>
    <row r="551" spans="1:13" ht="12.6" customHeight="1" x14ac:dyDescent="0.25">
      <c r="A551" s="180" t="s">
        <v>565</v>
      </c>
      <c r="B551" s="236">
        <f>'Prior Year'!BF71</f>
        <v>387898</v>
      </c>
      <c r="C551" s="236">
        <f>BF71</f>
        <v>429188</v>
      </c>
      <c r="D551" s="181" t="s">
        <v>529</v>
      </c>
      <c r="E551" s="181" t="s">
        <v>529</v>
      </c>
      <c r="F551" s="259"/>
      <c r="G551" s="259"/>
      <c r="H551" s="261"/>
      <c r="I551" s="263"/>
      <c r="J551" s="199"/>
      <c r="M551" s="261"/>
    </row>
    <row r="552" spans="1:13" ht="12.6" customHeight="1" x14ac:dyDescent="0.25">
      <c r="A552" s="180" t="s">
        <v>566</v>
      </c>
      <c r="B552" s="236">
        <f>'Prior Year'!BG71</f>
        <v>0</v>
      </c>
      <c r="C552" s="236">
        <f>BG71</f>
        <v>0</v>
      </c>
      <c r="D552" s="181" t="s">
        <v>529</v>
      </c>
      <c r="E552" s="181" t="s">
        <v>529</v>
      </c>
      <c r="F552" s="259"/>
      <c r="G552" s="259"/>
      <c r="H552" s="261"/>
      <c r="J552" s="199"/>
      <c r="M552" s="261"/>
    </row>
    <row r="553" spans="1:13" ht="12.6" customHeight="1" x14ac:dyDescent="0.25">
      <c r="A553" s="180" t="s">
        <v>567</v>
      </c>
      <c r="B553" s="236">
        <f>'Prior Year'!BH71</f>
        <v>0</v>
      </c>
      <c r="C553" s="236">
        <f>BH71</f>
        <v>0</v>
      </c>
      <c r="D553" s="181" t="s">
        <v>529</v>
      </c>
      <c r="E553" s="181" t="s">
        <v>529</v>
      </c>
      <c r="F553" s="259"/>
      <c r="G553" s="259"/>
      <c r="H553" s="261"/>
      <c r="J553" s="199"/>
      <c r="M553" s="261"/>
    </row>
    <row r="554" spans="1:13" ht="12.6" customHeight="1" x14ac:dyDescent="0.25">
      <c r="A554" s="180" t="s">
        <v>568</v>
      </c>
      <c r="B554" s="236">
        <f>'Prior Year'!BI71</f>
        <v>0</v>
      </c>
      <c r="C554" s="236">
        <f>BI71</f>
        <v>0</v>
      </c>
      <c r="D554" s="181" t="s">
        <v>529</v>
      </c>
      <c r="E554" s="181" t="s">
        <v>529</v>
      </c>
      <c r="F554" s="259"/>
      <c r="G554" s="259"/>
      <c r="H554" s="261"/>
      <c r="J554" s="199"/>
      <c r="M554" s="261"/>
    </row>
    <row r="555" spans="1:13" ht="12.6" customHeight="1" x14ac:dyDescent="0.25">
      <c r="A555" s="180" t="s">
        <v>569</v>
      </c>
      <c r="B555" s="236">
        <f>'Prior Year'!BJ71</f>
        <v>0</v>
      </c>
      <c r="C555" s="236">
        <f>BJ71</f>
        <v>0</v>
      </c>
      <c r="D555" s="181" t="s">
        <v>529</v>
      </c>
      <c r="E555" s="181" t="s">
        <v>529</v>
      </c>
      <c r="F555" s="259"/>
      <c r="G555" s="259"/>
      <c r="H555" s="261"/>
      <c r="J555" s="199"/>
      <c r="M555" s="261"/>
    </row>
    <row r="556" spans="1:13" ht="12.6" customHeight="1" x14ac:dyDescent="0.25">
      <c r="A556" s="180" t="s">
        <v>570</v>
      </c>
      <c r="B556" s="236">
        <f>'Prior Year'!BK71</f>
        <v>0</v>
      </c>
      <c r="C556" s="236">
        <f>BK71</f>
        <v>0</v>
      </c>
      <c r="D556" s="181" t="s">
        <v>529</v>
      </c>
      <c r="E556" s="181" t="s">
        <v>529</v>
      </c>
      <c r="F556" s="259"/>
      <c r="G556" s="259"/>
      <c r="H556" s="261"/>
      <c r="J556" s="199"/>
      <c r="M556" s="261"/>
    </row>
    <row r="557" spans="1:13" ht="12.6" customHeight="1" x14ac:dyDescent="0.25">
      <c r="A557" s="180" t="s">
        <v>571</v>
      </c>
      <c r="B557" s="236">
        <f>'Prior Year'!BL71</f>
        <v>0</v>
      </c>
      <c r="C557" s="236">
        <f>BL71</f>
        <v>0</v>
      </c>
      <c r="D557" s="181" t="s">
        <v>529</v>
      </c>
      <c r="E557" s="181" t="s">
        <v>529</v>
      </c>
      <c r="F557" s="259"/>
      <c r="G557" s="259"/>
      <c r="H557" s="261"/>
      <c r="J557" s="199"/>
      <c r="M557" s="261"/>
    </row>
    <row r="558" spans="1:13" ht="12.6" customHeight="1" x14ac:dyDescent="0.25">
      <c r="A558" s="180" t="s">
        <v>572</v>
      </c>
      <c r="B558" s="236">
        <f>'Prior Year'!BM71</f>
        <v>0</v>
      </c>
      <c r="C558" s="236">
        <f>BM71</f>
        <v>0</v>
      </c>
      <c r="D558" s="181" t="s">
        <v>529</v>
      </c>
      <c r="E558" s="181" t="s">
        <v>529</v>
      </c>
      <c r="F558" s="259"/>
      <c r="G558" s="259"/>
      <c r="H558" s="261"/>
      <c r="J558" s="199"/>
      <c r="M558" s="261"/>
    </row>
    <row r="559" spans="1:13" ht="12.6" customHeight="1" x14ac:dyDescent="0.25">
      <c r="A559" s="180" t="s">
        <v>573</v>
      </c>
      <c r="B559" s="236">
        <f>'Prior Year'!BN71</f>
        <v>3555327</v>
      </c>
      <c r="C559" s="236">
        <f>BN71</f>
        <v>3534307</v>
      </c>
      <c r="D559" s="181" t="s">
        <v>529</v>
      </c>
      <c r="E559" s="181" t="s">
        <v>529</v>
      </c>
      <c r="F559" s="259"/>
      <c r="G559" s="259"/>
      <c r="H559" s="261"/>
      <c r="J559" s="199"/>
      <c r="M559" s="261"/>
    </row>
    <row r="560" spans="1:13" ht="12.6" customHeight="1" x14ac:dyDescent="0.25">
      <c r="A560" s="180" t="s">
        <v>574</v>
      </c>
      <c r="B560" s="236">
        <f>'Prior Year'!BO71</f>
        <v>0</v>
      </c>
      <c r="C560" s="236">
        <f>BO71</f>
        <v>0</v>
      </c>
      <c r="D560" s="181" t="s">
        <v>529</v>
      </c>
      <c r="E560" s="181" t="s">
        <v>529</v>
      </c>
      <c r="F560" s="259"/>
      <c r="G560" s="259"/>
      <c r="H560" s="261"/>
      <c r="J560" s="199"/>
      <c r="M560" s="261"/>
    </row>
    <row r="561" spans="1:13" ht="12.6" customHeight="1" x14ac:dyDescent="0.25">
      <c r="A561" s="180" t="s">
        <v>575</v>
      </c>
      <c r="B561" s="236">
        <f>'Prior Year'!BP71</f>
        <v>0</v>
      </c>
      <c r="C561" s="236">
        <f>BP71</f>
        <v>0</v>
      </c>
      <c r="D561" s="181" t="s">
        <v>529</v>
      </c>
      <c r="E561" s="181" t="s">
        <v>529</v>
      </c>
      <c r="F561" s="259"/>
      <c r="G561" s="259"/>
      <c r="H561" s="261"/>
      <c r="J561" s="199"/>
      <c r="M561" s="261"/>
    </row>
    <row r="562" spans="1:13" ht="12.6" customHeight="1" x14ac:dyDescent="0.25">
      <c r="A562" s="180" t="s">
        <v>576</v>
      </c>
      <c r="B562" s="236">
        <f>'Prior Year'!BQ71</f>
        <v>535780</v>
      </c>
      <c r="C562" s="236">
        <f>BQ71</f>
        <v>611937</v>
      </c>
      <c r="D562" s="181" t="s">
        <v>529</v>
      </c>
      <c r="E562" s="181" t="s">
        <v>529</v>
      </c>
      <c r="F562" s="259"/>
      <c r="G562" s="259"/>
      <c r="H562" s="261"/>
      <c r="J562" s="199"/>
      <c r="M562" s="261"/>
    </row>
    <row r="563" spans="1:13" ht="12.6" customHeight="1" x14ac:dyDescent="0.25">
      <c r="A563" s="180" t="s">
        <v>577</v>
      </c>
      <c r="B563" s="236">
        <f>'Prior Year'!BR71</f>
        <v>213562</v>
      </c>
      <c r="C563" s="236">
        <f>BR71</f>
        <v>179885</v>
      </c>
      <c r="D563" s="181" t="s">
        <v>529</v>
      </c>
      <c r="E563" s="181" t="s">
        <v>529</v>
      </c>
      <c r="F563" s="259"/>
      <c r="G563" s="259"/>
      <c r="H563" s="261"/>
      <c r="J563" s="199"/>
      <c r="M563" s="261"/>
    </row>
    <row r="564" spans="1:13" ht="12.6" customHeight="1" x14ac:dyDescent="0.25">
      <c r="A564" s="180" t="s">
        <v>985</v>
      </c>
      <c r="B564" s="236">
        <f>'Prior Year'!BS71</f>
        <v>0</v>
      </c>
      <c r="C564" s="236">
        <f>BS71</f>
        <v>0</v>
      </c>
      <c r="D564" s="181" t="s">
        <v>529</v>
      </c>
      <c r="E564" s="181" t="s">
        <v>529</v>
      </c>
      <c r="F564" s="259"/>
      <c r="G564" s="259"/>
      <c r="H564" s="261"/>
      <c r="J564" s="199"/>
      <c r="M564" s="261"/>
    </row>
    <row r="565" spans="1:13" ht="12.6" customHeight="1" x14ac:dyDescent="0.25">
      <c r="A565" s="180" t="s">
        <v>578</v>
      </c>
      <c r="B565" s="236">
        <f>'Prior Year'!BT71</f>
        <v>0</v>
      </c>
      <c r="C565" s="236">
        <f>BT71</f>
        <v>0</v>
      </c>
      <c r="D565" s="181" t="s">
        <v>529</v>
      </c>
      <c r="E565" s="181" t="s">
        <v>529</v>
      </c>
      <c r="F565" s="259"/>
      <c r="G565" s="259"/>
      <c r="H565" s="261"/>
      <c r="J565" s="199"/>
      <c r="M565" s="261"/>
    </row>
    <row r="566" spans="1:13" ht="12.6" customHeight="1" x14ac:dyDescent="0.25">
      <c r="A566" s="180" t="s">
        <v>579</v>
      </c>
      <c r="B566" s="236">
        <f>'Prior Year'!BU71</f>
        <v>255776</v>
      </c>
      <c r="C566" s="236">
        <f>BU71</f>
        <v>0</v>
      </c>
      <c r="D566" s="181" t="s">
        <v>529</v>
      </c>
      <c r="E566" s="181" t="s">
        <v>529</v>
      </c>
      <c r="F566" s="259"/>
      <c r="G566" s="259"/>
      <c r="H566" s="261"/>
      <c r="J566" s="199"/>
      <c r="M566" s="261"/>
    </row>
    <row r="567" spans="1:13" ht="12.6" customHeight="1" x14ac:dyDescent="0.25">
      <c r="A567" s="180" t="s">
        <v>580</v>
      </c>
      <c r="B567" s="236">
        <f>'Prior Year'!BV71</f>
        <v>12467</v>
      </c>
      <c r="C567" s="236">
        <f>BV71</f>
        <v>241155</v>
      </c>
      <c r="D567" s="181" t="s">
        <v>529</v>
      </c>
      <c r="E567" s="181" t="s">
        <v>529</v>
      </c>
      <c r="F567" s="259"/>
      <c r="G567" s="259"/>
      <c r="H567" s="261"/>
      <c r="J567" s="199"/>
      <c r="M567" s="261"/>
    </row>
    <row r="568" spans="1:13" ht="12.6" customHeight="1" x14ac:dyDescent="0.25">
      <c r="A568" s="180" t="s">
        <v>581</v>
      </c>
      <c r="B568" s="236">
        <f>'Prior Year'!BW71</f>
        <v>0</v>
      </c>
      <c r="C568" s="236">
        <f>BW71</f>
        <v>0</v>
      </c>
      <c r="D568" s="181" t="s">
        <v>529</v>
      </c>
      <c r="E568" s="181" t="s">
        <v>529</v>
      </c>
      <c r="F568" s="259"/>
      <c r="G568" s="259"/>
      <c r="H568" s="261"/>
      <c r="J568" s="199"/>
      <c r="M568" s="261"/>
    </row>
    <row r="569" spans="1:13" ht="12.6" customHeight="1" x14ac:dyDescent="0.25">
      <c r="A569" s="180" t="s">
        <v>582</v>
      </c>
      <c r="B569" s="236">
        <f>'Prior Year'!BX71</f>
        <v>0</v>
      </c>
      <c r="C569" s="236">
        <f>BX71</f>
        <v>0</v>
      </c>
      <c r="D569" s="181" t="s">
        <v>529</v>
      </c>
      <c r="E569" s="181" t="s">
        <v>529</v>
      </c>
      <c r="F569" s="259"/>
      <c r="G569" s="259"/>
      <c r="H569" s="261"/>
      <c r="J569" s="199"/>
      <c r="M569" s="261"/>
    </row>
    <row r="570" spans="1:13" ht="12.6" customHeight="1" x14ac:dyDescent="0.25">
      <c r="A570" s="180" t="s">
        <v>583</v>
      </c>
      <c r="B570" s="236">
        <f>'Prior Year'!BY71</f>
        <v>656955</v>
      </c>
      <c r="C570" s="236">
        <f>BY71</f>
        <v>882603</v>
      </c>
      <c r="D570" s="181" t="s">
        <v>529</v>
      </c>
      <c r="E570" s="181" t="s">
        <v>529</v>
      </c>
      <c r="F570" s="259"/>
      <c r="G570" s="259"/>
      <c r="H570" s="261"/>
      <c r="J570" s="199"/>
      <c r="M570" s="261"/>
    </row>
    <row r="571" spans="1:13" ht="12.6" customHeight="1" x14ac:dyDescent="0.25">
      <c r="A571" s="180" t="s">
        <v>584</v>
      </c>
      <c r="B571" s="236">
        <f>'Prior Year'!BZ71</f>
        <v>0</v>
      </c>
      <c r="C571" s="236">
        <f>BZ71</f>
        <v>0</v>
      </c>
      <c r="D571" s="181" t="s">
        <v>529</v>
      </c>
      <c r="E571" s="181" t="s">
        <v>529</v>
      </c>
      <c r="F571" s="259"/>
      <c r="G571" s="259"/>
      <c r="H571" s="261"/>
      <c r="J571" s="199"/>
      <c r="M571" s="261"/>
    </row>
    <row r="572" spans="1:13" ht="12.6" customHeight="1" x14ac:dyDescent="0.25">
      <c r="A572" s="180" t="s">
        <v>585</v>
      </c>
      <c r="B572" s="236">
        <f>'Prior Year'!CA71</f>
        <v>0</v>
      </c>
      <c r="C572" s="236">
        <f>CA71</f>
        <v>0</v>
      </c>
      <c r="D572" s="181" t="s">
        <v>529</v>
      </c>
      <c r="E572" s="181" t="s">
        <v>529</v>
      </c>
      <c r="F572" s="259"/>
      <c r="G572" s="259"/>
      <c r="H572" s="261"/>
      <c r="J572" s="199"/>
      <c r="M572" s="261"/>
    </row>
    <row r="573" spans="1:13" ht="12.6" customHeight="1" x14ac:dyDescent="0.25">
      <c r="A573" s="180" t="s">
        <v>586</v>
      </c>
      <c r="B573" s="236">
        <f>'Prior Year'!CB71</f>
        <v>0</v>
      </c>
      <c r="C573" s="236">
        <f>CB71</f>
        <v>0</v>
      </c>
      <c r="D573" s="181" t="s">
        <v>529</v>
      </c>
      <c r="E573" s="181" t="s">
        <v>529</v>
      </c>
      <c r="F573" s="259"/>
      <c r="G573" s="259"/>
      <c r="H573" s="261"/>
      <c r="J573" s="199"/>
      <c r="M573" s="261"/>
    </row>
    <row r="574" spans="1:13" ht="12.6" customHeight="1" x14ac:dyDescent="0.25">
      <c r="A574" s="180" t="s">
        <v>587</v>
      </c>
      <c r="B574" s="236">
        <f>'Prior Year'!CC71</f>
        <v>724908</v>
      </c>
      <c r="C574" s="236">
        <f>CC71</f>
        <v>61144</v>
      </c>
      <c r="D574" s="181" t="s">
        <v>529</v>
      </c>
      <c r="E574" s="181" t="s">
        <v>529</v>
      </c>
      <c r="F574" s="259"/>
      <c r="G574" s="259"/>
      <c r="H574" s="261"/>
      <c r="J574" s="199"/>
      <c r="M574" s="261"/>
    </row>
    <row r="575" spans="1:13" ht="12.6" customHeight="1" x14ac:dyDescent="0.25">
      <c r="A575" s="180" t="s">
        <v>588</v>
      </c>
      <c r="B575" s="236">
        <f>'Prior Year'!CD71</f>
        <v>-1869733</v>
      </c>
      <c r="C575" s="236">
        <f>CD71</f>
        <v>-1869733</v>
      </c>
      <c r="D575" s="181" t="s">
        <v>529</v>
      </c>
      <c r="E575" s="181" t="s">
        <v>529</v>
      </c>
      <c r="F575" s="259"/>
      <c r="G575" s="259"/>
      <c r="H575" s="261"/>
    </row>
    <row r="576" spans="1:13" ht="12.6" customHeight="1" x14ac:dyDescent="0.25">
      <c r="M576" s="261"/>
    </row>
    <row r="577" spans="13:13" ht="12.6" customHeight="1" x14ac:dyDescent="0.25">
      <c r="M577" s="261"/>
    </row>
    <row r="578" spans="13:13" ht="12.6" customHeight="1" x14ac:dyDescent="0.25">
      <c r="M578" s="261"/>
    </row>
    <row r="612" spans="1:14" ht="12.6" customHeight="1" x14ac:dyDescent="0.25">
      <c r="A612" s="196"/>
      <c r="C612" s="181" t="s">
        <v>589</v>
      </c>
      <c r="D612" s="180">
        <f>CE76-(BE76+CD76)</f>
        <v>80349</v>
      </c>
      <c r="E612" s="180">
        <f>SUM(C624:D647)+SUM(C668:D713)</f>
        <v>13295071.120125951</v>
      </c>
      <c r="F612" s="180">
        <f>CE64-(AX64+BD64+BE64+BG64+BJ64+BN64+BP64+BQ64+CB64+CC64+CD64)</f>
        <v>1</v>
      </c>
      <c r="G612" s="180">
        <f>CE77-(AX77+AY77+BD77+BE77+BG77+BJ77+BN77+BP77+BQ77+CB77+CC77+CD77)</f>
        <v>3493</v>
      </c>
      <c r="H612" s="197">
        <f>CE60-(AX60+AY60+AZ60+BD60+BE60+BG60+BJ60+BN60+BO60+BP60+BQ60+BR60+CB60+CC60+CD60)</f>
        <v>68</v>
      </c>
      <c r="I612" s="180">
        <f>CE78-(AX78+AY78+AZ78+BD78+BE78+BF78+BG78+BJ78+BN78+BO78+BP78+BQ78+BR78+CB78+CC78+CD78)</f>
        <v>54406</v>
      </c>
      <c r="J612" s="180">
        <f>CE79-(AX79+AY79+AZ79+BA79+BD79+BE79+BF79+BG79+BJ79+BN79+BO79+BP79+BQ79+BR79+CB79+CC79+CD79)</f>
        <v>49237</v>
      </c>
      <c r="K612" s="180">
        <f>CE75-(AW75+AX75+AY75+AZ75+BA75+BB75+BC75+BD75+BE75+BF75+BG75+BH75+BI75+BJ75+BK75+BL75+BM75+BN75+BO75+BP75+BQ75+BR75+BS75+BT75+BU75+BV75+BW75+BX75+CB75+CC75+CD75)</f>
        <v>31231967</v>
      </c>
      <c r="L612" s="197">
        <f>CE80-(AW80+AX80+AY80+AZ80+BA80+BB80+BC80+BD80+BE80+BF80+BG80+BH80+BI80+BJ80+BK80+BL80+BM80+BN80+BO80+BP80+BQ80+BR80+BS80+BT80+BU80+BV80+BW80+BX80+BY80+BZ80+CA80+CB80+CC80+CD80)</f>
        <v>43.739999999999995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96414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68">
        <f>CD69-CD70</f>
        <v>-1869733</v>
      </c>
      <c r="D615" s="262">
        <f>SUM(C614:C615)</f>
        <v>-1773319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3534307</v>
      </c>
      <c r="D619" s="180">
        <f>(D615/D612)*BN76</f>
        <v>-295652.48259468068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61144</v>
      </c>
      <c r="D620" s="180">
        <f>(D615/D612)*CC76</f>
        <v>-117457.63753126984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611937</v>
      </c>
      <c r="D623" s="180">
        <f>(D615/D612)*BQ76</f>
        <v>0</v>
      </c>
      <c r="E623" s="180">
        <f>SUM(C616:D623)</f>
        <v>3794277.8798740497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2815</v>
      </c>
      <c r="D624" s="180">
        <f>(D615/D612)*BD76</f>
        <v>-5407.2005252087765</v>
      </c>
      <c r="E624" s="180">
        <f>(E623/E612)*SUM(C624:D624)</f>
        <v>-739.78762686787184</v>
      </c>
      <c r="F624" s="180">
        <f>SUM(C624:E624)</f>
        <v>-3331.9881520766485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50608</v>
      </c>
      <c r="D625" s="180">
        <f>(D615/D612)*AY76</f>
        <v>-97219.258422631261</v>
      </c>
      <c r="E625" s="180">
        <f>(E623/E612)*SUM(C625:D625)</f>
        <v>-13302.378391820694</v>
      </c>
      <c r="F625" s="180">
        <f>(F624/F612)*AY64</f>
        <v>0</v>
      </c>
      <c r="G625" s="180">
        <f>SUM(C625:F625)</f>
        <v>-59913.636814451951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179885</v>
      </c>
      <c r="D626" s="180">
        <f>(D615/D612)*BR76</f>
        <v>-9137.0653772915648</v>
      </c>
      <c r="E626" s="180">
        <f>(E623/E612)*SUM(C626:D626)</f>
        <v>48729.721377149392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334990</v>
      </c>
      <c r="D628" s="180">
        <f>(D615/D612)*AZ76</f>
        <v>-31759.02675826706</v>
      </c>
      <c r="E628" s="180">
        <f>(E623/E612)*SUM(C628:D628)</f>
        <v>86539.031184429463</v>
      </c>
      <c r="F628" s="180">
        <f>(F624/F612)*AZ64</f>
        <v>0</v>
      </c>
      <c r="G628" s="180">
        <f>(G625/G612)*AZ77</f>
        <v>0</v>
      </c>
      <c r="H628" s="180">
        <f>SUM(C626:G628)</f>
        <v>609247.66042602016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429188</v>
      </c>
      <c r="D629" s="180">
        <f>(D615/D612)*BF76</f>
        <v>-15934.688894696885</v>
      </c>
      <c r="E629" s="180">
        <f>(E623/E612)*SUM(C629:D629)</f>
        <v>117938.28577102837</v>
      </c>
      <c r="F629" s="180">
        <f>(F624/F612)*BF64</f>
        <v>0</v>
      </c>
      <c r="G629" s="180">
        <f>(G625/G612)*BF77</f>
        <v>0</v>
      </c>
      <c r="H629" s="180">
        <f>(H628/H612)*BF60</f>
        <v>0</v>
      </c>
      <c r="I629" s="180">
        <f>SUM(C629:H629)</f>
        <v>531191.59687633149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18543</v>
      </c>
      <c r="D630" s="180">
        <f>(D615/D612)*BA76</f>
        <v>-35621.312847701898</v>
      </c>
      <c r="E630" s="180">
        <f>(E623/E612)*SUM(C630:D630)</f>
        <v>-4873.9765344700336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15758.247938800851</v>
      </c>
      <c r="J630" s="180">
        <f>SUM(C630:I630)</f>
        <v>-6194.041443371083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768728</v>
      </c>
      <c r="D632" s="180">
        <f>(D615/D612)*BB76</f>
        <v>-42087.883271727093</v>
      </c>
      <c r="E632" s="180">
        <f>(E623/E612)*SUM(C632:D632)</f>
        <v>207375.68807417288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18618.945984692207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0</v>
      </c>
      <c r="D637" s="180">
        <f>(D615/D612)*BL76</f>
        <v>0</v>
      </c>
      <c r="E637" s="180">
        <f>(E623/E612)*SUM(C637:D637)</f>
        <v>0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241155</v>
      </c>
      <c r="D642" s="180">
        <f>(D615/D612)*BV76</f>
        <v>-23416.488805087803</v>
      </c>
      <c r="E642" s="180">
        <f>(E623/E612)*SUM(C642:D642)</f>
        <v>62140.353305288438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10359.046507476891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1242872.6617948154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882603</v>
      </c>
      <c r="D645" s="180">
        <f>(D615/D612)*BY76</f>
        <v>-28360.214999564399</v>
      </c>
      <c r="E645" s="180">
        <f>(E623/E612)*SUM(C645:D645)</f>
        <v>243792.18989378752</v>
      </c>
      <c r="F645" s="180">
        <f>(F624/F612)*BY64</f>
        <v>0</v>
      </c>
      <c r="G645" s="180">
        <f>(G625/G612)*BY77</f>
        <v>0</v>
      </c>
      <c r="H645" s="180">
        <f>(H628/H612)*BY60</f>
        <v>0</v>
      </c>
      <c r="I645" s="180">
        <f>(I629/I612)*BY78</f>
        <v>12546.064808772673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1110581.0397029957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5342584</v>
      </c>
      <c r="L648" s="262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2550318</v>
      </c>
      <c r="D670" s="180">
        <f>(D615/D612)*E76</f>
        <v>-356367.61992059636</v>
      </c>
      <c r="E670" s="180">
        <f>(E623/E612)*SUM(C670:D670)</f>
        <v>626131.09185065294</v>
      </c>
      <c r="F670" s="180">
        <f>(F624/F612)*E64</f>
        <v>-3331.9881520766485</v>
      </c>
      <c r="G670" s="180">
        <f>(G625/G612)*E77</f>
        <v>-59913.636814451958</v>
      </c>
      <c r="H670" s="180">
        <f>(H628/H612)*E60</f>
        <v>164586.46355920576</v>
      </c>
      <c r="I670" s="180">
        <f>(I629/I612)*E78</f>
        <v>157650.82370992401</v>
      </c>
      <c r="J670" s="180">
        <f>(J630/J612)*E79</f>
        <v>-2842.2117174093237</v>
      </c>
      <c r="K670" s="180">
        <f>(K644/K612)*E75</f>
        <v>62284.015530122473</v>
      </c>
      <c r="L670" s="180">
        <f>(L647/L612)*E80</f>
        <v>466423.72426483844</v>
      </c>
      <c r="M670" s="180">
        <f t="shared" si="20"/>
        <v>1054621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2333615</v>
      </c>
      <c r="D681" s="180">
        <f>(D615/D612)*P76</f>
        <v>-90223.003049197869</v>
      </c>
      <c r="E681" s="180">
        <f>(E623/E612)*SUM(C681:D681)</f>
        <v>640241.2257149521</v>
      </c>
      <c r="F681" s="180">
        <f>(F624/F612)*P64</f>
        <v>0</v>
      </c>
      <c r="G681" s="180">
        <f>(G625/G612)*P77</f>
        <v>0</v>
      </c>
      <c r="H681" s="180">
        <f>(H628/H612)*P60</f>
        <v>72213.766809319452</v>
      </c>
      <c r="I681" s="180">
        <f>(I629/I612)*P78</f>
        <v>39913.083998648006</v>
      </c>
      <c r="J681" s="180">
        <f>(J630/J612)*P79</f>
        <v>-2333.9775148539452</v>
      </c>
      <c r="K681" s="180">
        <f>(K644/K612)*P75</f>
        <v>397908.37937227741</v>
      </c>
      <c r="L681" s="180">
        <f>(L647/L612)*P80</f>
        <v>204647.5349795644</v>
      </c>
      <c r="M681" s="180">
        <f t="shared" si="20"/>
        <v>1262367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311560</v>
      </c>
      <c r="D682" s="180">
        <f>(D615/D612)*Q76</f>
        <v>-31118.990777732142</v>
      </c>
      <c r="E682" s="180">
        <f>(E623/E612)*SUM(C682:D682)</f>
        <v>80035.007581931975</v>
      </c>
      <c r="F682" s="180">
        <f>(F624/F612)*Q64</f>
        <v>0</v>
      </c>
      <c r="G682" s="180">
        <f>(G625/G612)*Q77</f>
        <v>0</v>
      </c>
      <c r="H682" s="180">
        <f>(H628/H612)*Q60</f>
        <v>20786.096649828924</v>
      </c>
      <c r="I682" s="180">
        <f>(I629/I612)*Q78</f>
        <v>13766.499128692194</v>
      </c>
      <c r="J682" s="180">
        <f>(J630/J612)*Q79</f>
        <v>0</v>
      </c>
      <c r="K682" s="180">
        <f>(K644/K612)*Q75</f>
        <v>40557.319336375527</v>
      </c>
      <c r="L682" s="180">
        <f>(L647/L612)*Q80</f>
        <v>58905.99021744285</v>
      </c>
      <c r="M682" s="180">
        <f t="shared" si="20"/>
        <v>182932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2481001</v>
      </c>
      <c r="D683" s="180">
        <f>(D615/D612)*R76</f>
        <v>-11675.139093205889</v>
      </c>
      <c r="E683" s="180">
        <f>(E623/E612)*SUM(C683:D683)</f>
        <v>704720.44922395528</v>
      </c>
      <c r="F683" s="180">
        <f>(F624/F612)*R64</f>
        <v>0</v>
      </c>
      <c r="G683" s="180">
        <f>(G625/G612)*R77</f>
        <v>0</v>
      </c>
      <c r="H683" s="180">
        <f>(H628/H612)*R60</f>
        <v>44349.645869247062</v>
      </c>
      <c r="I683" s="180">
        <f>(I629/I612)*R78</f>
        <v>5164.8780418994111</v>
      </c>
      <c r="J683" s="180">
        <f>(J630/J612)*R79</f>
        <v>0</v>
      </c>
      <c r="K683" s="180">
        <f>(K644/K612)*R75</f>
        <v>145112.18233077604</v>
      </c>
      <c r="L683" s="180">
        <f>(L647/L612)*R80</f>
        <v>109940.92139721016</v>
      </c>
      <c r="M683" s="180">
        <f t="shared" si="20"/>
        <v>997613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145955</v>
      </c>
      <c r="D684" s="180">
        <f>(D615/D612)*S76</f>
        <v>0</v>
      </c>
      <c r="E684" s="180">
        <f>(E623/E612)*SUM(C684:D684)</f>
        <v>41654.070365873347</v>
      </c>
      <c r="F684" s="180">
        <f>(F624/F612)*S64</f>
        <v>0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153197.90686380913</v>
      </c>
      <c r="L684" s="180">
        <f>(L647/L612)*S80</f>
        <v>0</v>
      </c>
      <c r="M684" s="180">
        <f t="shared" si="20"/>
        <v>194852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146970</v>
      </c>
      <c r="D686" s="180">
        <f>(D615/D612)*U76</f>
        <v>-10174.365069882637</v>
      </c>
      <c r="E686" s="180">
        <f>(E623/E612)*SUM(C686:D686)</f>
        <v>39040.080868236313</v>
      </c>
      <c r="F686" s="180">
        <f>(F624/F612)*U64</f>
        <v>0</v>
      </c>
      <c r="G686" s="180">
        <f>(G625/G612)*U77</f>
        <v>0</v>
      </c>
      <c r="H686" s="180">
        <f>(H628/H612)*U60</f>
        <v>10930.619789996244</v>
      </c>
      <c r="I686" s="180">
        <f>(I629/I612)*U78</f>
        <v>4500.9617718631926</v>
      </c>
      <c r="J686" s="180">
        <f>(J630/J612)*U79</f>
        <v>0</v>
      </c>
      <c r="K686" s="180">
        <f>(K644/K612)*U75</f>
        <v>6723.3863010580117</v>
      </c>
      <c r="L686" s="180">
        <f>(L647/L612)*U80</f>
        <v>0</v>
      </c>
      <c r="M686" s="180">
        <f t="shared" si="20"/>
        <v>51021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" customHeight="1" x14ac:dyDescent="0.25">
      <c r="A690" s="196">
        <v>7140</v>
      </c>
      <c r="B690" s="198" t="s">
        <v>986</v>
      </c>
      <c r="C690" s="180">
        <f>Y71</f>
        <v>475746</v>
      </c>
      <c r="D690" s="180">
        <f>(D615/D612)*Y76</f>
        <v>-71088.134251826399</v>
      </c>
      <c r="E690" s="180">
        <f>(E623/E612)*SUM(C690:D690)</f>
        <v>115485.23321557025</v>
      </c>
      <c r="F690" s="180">
        <f>(F624/F612)*Y64</f>
        <v>0</v>
      </c>
      <c r="G690" s="180">
        <f>(G625/G612)*Y77</f>
        <v>0</v>
      </c>
      <c r="H690" s="180">
        <f>(H628/H612)*Y60</f>
        <v>43364.098183263792</v>
      </c>
      <c r="I690" s="180">
        <f>(I629/I612)*Y78</f>
        <v>31448.151555686207</v>
      </c>
      <c r="J690" s="180">
        <f>(J630/J612)*Y79</f>
        <v>-256.0041094554939</v>
      </c>
      <c r="K690" s="180">
        <f>(K644/K612)*Y75</f>
        <v>143248.50808646172</v>
      </c>
      <c r="L690" s="180">
        <f>(L647/L612)*Y80</f>
        <v>0</v>
      </c>
      <c r="M690" s="180">
        <f t="shared" si="20"/>
        <v>262202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355359</v>
      </c>
      <c r="D693" s="180">
        <f>(D615/D612)*AB76</f>
        <v>-6621.0618676025833</v>
      </c>
      <c r="E693" s="180">
        <f>(E623/E612)*SUM(C693:D693)</f>
        <v>99526.255450080294</v>
      </c>
      <c r="F693" s="180">
        <f>(F624/F612)*AB64</f>
        <v>0</v>
      </c>
      <c r="G693" s="180">
        <f>(G625/G612)*AB77</f>
        <v>0</v>
      </c>
      <c r="H693" s="180">
        <f>(H628/H612)*AB60</f>
        <v>15679.16773155199</v>
      </c>
      <c r="I693" s="180">
        <f>(I629/I612)*AB78</f>
        <v>2929.0423678068496</v>
      </c>
      <c r="J693" s="180">
        <f>(J630/J612)*AB79</f>
        <v>0</v>
      </c>
      <c r="K693" s="180">
        <f>(K644/K612)*AB75</f>
        <v>64302.213328644866</v>
      </c>
      <c r="L693" s="180">
        <f>(L647/L612)*AB80</f>
        <v>0</v>
      </c>
      <c r="M693" s="180">
        <f t="shared" si="20"/>
        <v>175816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433191</v>
      </c>
      <c r="D694" s="180">
        <f>(D615/D612)*AC76</f>
        <v>-2273.2312412102201</v>
      </c>
      <c r="E694" s="180">
        <f>(E623/E612)*SUM(C694:D694)</f>
        <v>122979.5420628534</v>
      </c>
      <c r="F694" s="180">
        <f>(F624/F612)*AC64</f>
        <v>0</v>
      </c>
      <c r="G694" s="180">
        <f>(G625/G612)*AC77</f>
        <v>0</v>
      </c>
      <c r="H694" s="180">
        <f>(H628/H612)*AC60</f>
        <v>34852.549986135571</v>
      </c>
      <c r="I694" s="180">
        <f>(I629/I612)*AC78</f>
        <v>1005.6378796136851</v>
      </c>
      <c r="J694" s="180">
        <f>(J630/J612)*AC79</f>
        <v>0</v>
      </c>
      <c r="K694" s="180">
        <f>(K644/K612)*AC75</f>
        <v>18447.676925233714</v>
      </c>
      <c r="L694" s="180">
        <f>(L647/L612)*AC80</f>
        <v>0</v>
      </c>
      <c r="M694" s="180">
        <f t="shared" si="20"/>
        <v>175012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572218</v>
      </c>
      <c r="D696" s="180">
        <f>(D615/D612)*AE76</f>
        <v>-115228.5467025103</v>
      </c>
      <c r="E696" s="180">
        <f>(E623/E612)*SUM(C696:D696)</f>
        <v>130420.13527536314</v>
      </c>
      <c r="F696" s="180">
        <f>(F624/F612)*AE64</f>
        <v>0</v>
      </c>
      <c r="G696" s="180">
        <f>(G625/G612)*AE77</f>
        <v>0</v>
      </c>
      <c r="H696" s="180">
        <f>(H628/H612)*AE60</f>
        <v>39869.883660232204</v>
      </c>
      <c r="I696" s="180">
        <f>(I629/I612)*AE78</f>
        <v>50975.100674398542</v>
      </c>
      <c r="J696" s="180">
        <f>(J630/J612)*AE79</f>
        <v>-46.797802809554661</v>
      </c>
      <c r="K696" s="180">
        <f>(K644/K612)*AE75</f>
        <v>49138.092289276865</v>
      </c>
      <c r="L696" s="180">
        <f>(L647/L612)*AE80</f>
        <v>0</v>
      </c>
      <c r="M696" s="180">
        <f t="shared" si="20"/>
        <v>155128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0</v>
      </c>
      <c r="D698" s="180">
        <f>(D615/D612)*AG76</f>
        <v>0</v>
      </c>
      <c r="E698" s="180">
        <f>(E623/E612)*SUM(C698:D698)</f>
        <v>0</v>
      </c>
      <c r="F698" s="180">
        <f>(F624/F612)*AG64</f>
        <v>0</v>
      </c>
      <c r="G698" s="180">
        <f>(G625/G612)*AG77</f>
        <v>0</v>
      </c>
      <c r="H698" s="180">
        <f>(H628/H612)*AG60</f>
        <v>0</v>
      </c>
      <c r="I698" s="180">
        <f>(I629/I612)*AG78</f>
        <v>0</v>
      </c>
      <c r="J698" s="180">
        <f>(J630/J612)*AG79</f>
        <v>0</v>
      </c>
      <c r="K698" s="180">
        <f>(K644/K612)*AG75</f>
        <v>0</v>
      </c>
      <c r="L698" s="180">
        <f>(L647/L612)*AG80</f>
        <v>0</v>
      </c>
      <c r="M698" s="180">
        <f t="shared" si="20"/>
        <v>0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981587</v>
      </c>
      <c r="D701" s="180">
        <f>(D615/D612)*AJ76</f>
        <v>-195917.22066236046</v>
      </c>
      <c r="E701" s="180">
        <f>(E623/E612)*SUM(C701:D701)</f>
        <v>224222.15253242591</v>
      </c>
      <c r="F701" s="180">
        <f>(F624/F612)*AJ64</f>
        <v>0</v>
      </c>
      <c r="G701" s="180">
        <f>(G625/G612)*AJ77</f>
        <v>0</v>
      </c>
      <c r="H701" s="180">
        <f>(H628/H612)*AJ60</f>
        <v>95508.530296196695</v>
      </c>
      <c r="I701" s="180">
        <f>(I629/I612)*AJ78</f>
        <v>86670.363663404685</v>
      </c>
      <c r="J701" s="180">
        <f>(J630/J612)*AJ79</f>
        <v>-583.71452966756351</v>
      </c>
      <c r="K701" s="180">
        <f>(K644/K612)*AJ75</f>
        <v>152847.27409632847</v>
      </c>
      <c r="L701" s="180">
        <f>(L647/L612)*AJ80</f>
        <v>270662.86884394003</v>
      </c>
      <c r="M701" s="180">
        <f t="shared" si="20"/>
        <v>633410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959245</v>
      </c>
      <c r="D702" s="180">
        <f>(D615/D612)*AK76</f>
        <v>-180578.42733574778</v>
      </c>
      <c r="E702" s="180">
        <f>(E623/E612)*SUM(C702:D702)</f>
        <v>222223.50867945733</v>
      </c>
      <c r="F702" s="180">
        <f>(F624/F612)*AK64</f>
        <v>0</v>
      </c>
      <c r="G702" s="180">
        <f>(G625/G612)*AK77</f>
        <v>0</v>
      </c>
      <c r="H702" s="180">
        <f>(H628/H612)*AK60</f>
        <v>67106.837891042524</v>
      </c>
      <c r="I702" s="180">
        <f>(I629/I612)*AK78</f>
        <v>79884.748844652146</v>
      </c>
      <c r="J702" s="180">
        <f>(J630/J612)*AK79</f>
        <v>-131.33576917520179</v>
      </c>
      <c r="K702" s="180">
        <f>(K644/K612)*AK75</f>
        <v>9105.7073344513501</v>
      </c>
      <c r="L702" s="180">
        <f>(L647/L612)*AK80</f>
        <v>0</v>
      </c>
      <c r="M702" s="180">
        <f t="shared" si="20"/>
        <v>197611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15" ht="12.6" customHeight="1" x14ac:dyDescent="0.25">
      <c r="C715" s="180">
        <f>SUM(C614:C647)+SUM(C668:C713)</f>
        <v>17089349</v>
      </c>
      <c r="D715" s="180">
        <f>SUM(D616:D647)+SUM(D668:D713)</f>
        <v>-1773319.0000000002</v>
      </c>
      <c r="E715" s="180">
        <f>SUM(E624:E647)+SUM(E668:E713)</f>
        <v>3794277.8798740497</v>
      </c>
      <c r="F715" s="180">
        <f>SUM(F625:F648)+SUM(F668:F713)</f>
        <v>-3331.9881520766485</v>
      </c>
      <c r="G715" s="180">
        <f>SUM(G626:G647)+SUM(G668:G713)</f>
        <v>-59913.636814451958</v>
      </c>
      <c r="H715" s="180">
        <f>SUM(H629:H647)+SUM(H668:H713)</f>
        <v>609247.66042602016</v>
      </c>
      <c r="I715" s="180">
        <f>SUM(I630:I647)+SUM(I668:I713)</f>
        <v>531191.59687633161</v>
      </c>
      <c r="J715" s="180">
        <f>SUM(J631:J647)+SUM(J668:J713)</f>
        <v>-6194.0414433710821</v>
      </c>
      <c r="K715" s="180">
        <f>SUM(K668:K713)</f>
        <v>1242872.6617948154</v>
      </c>
      <c r="L715" s="180">
        <f>SUM(L668:L713)</f>
        <v>1110581.0397029959</v>
      </c>
      <c r="M715" s="180">
        <f>SUM(M668:M713)</f>
        <v>5342585</v>
      </c>
      <c r="N715" s="198" t="s">
        <v>742</v>
      </c>
    </row>
    <row r="716" spans="1:15" ht="12.6" customHeight="1" x14ac:dyDescent="0.25">
      <c r="C716" s="180">
        <f>CE71</f>
        <v>17089349</v>
      </c>
      <c r="D716" s="180">
        <f>D615</f>
        <v>-1773319</v>
      </c>
      <c r="E716" s="180">
        <f>E623</f>
        <v>3794277.8798740497</v>
      </c>
      <c r="F716" s="180">
        <f>F624</f>
        <v>-3331.9881520766485</v>
      </c>
      <c r="G716" s="180">
        <f>G625</f>
        <v>-59913.636814451951</v>
      </c>
      <c r="H716" s="180">
        <f>H628</f>
        <v>609247.66042602016</v>
      </c>
      <c r="I716" s="180">
        <f>I629</f>
        <v>531191.59687633149</v>
      </c>
      <c r="J716" s="180">
        <f>J630</f>
        <v>-6194.041443371083</v>
      </c>
      <c r="K716" s="180">
        <f>K644</f>
        <v>1242872.6617948154</v>
      </c>
      <c r="L716" s="180">
        <f>L647</f>
        <v>1110581.0397029957</v>
      </c>
      <c r="M716" s="180">
        <f>C648</f>
        <v>5342584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81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27" transitionEvaluation="1" transitionEntry="1" codeName="Sheet10">
    <pageSetUpPr autoPageBreaks="0" fitToPage="1"/>
  </sheetPr>
  <dimension ref="A1:CF719"/>
  <sheetViews>
    <sheetView showGridLines="0" topLeftCell="A27" zoomScale="75" workbookViewId="0">
      <selection activeCell="C47" sqref="C47:CF80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29" t="s">
        <v>968</v>
      </c>
      <c r="B1" s="230"/>
      <c r="C1" s="230"/>
      <c r="D1" s="230"/>
      <c r="E1" s="230"/>
      <c r="F1" s="230"/>
    </row>
    <row r="2" spans="1:6" ht="12.75" customHeight="1" x14ac:dyDescent="0.25">
      <c r="A2" s="230" t="s">
        <v>969</v>
      </c>
      <c r="B2" s="230"/>
      <c r="C2" s="231"/>
      <c r="D2" s="230"/>
      <c r="E2" s="230"/>
      <c r="F2" s="230"/>
    </row>
    <row r="3" spans="1:6" ht="12.75" customHeight="1" x14ac:dyDescent="0.25">
      <c r="A3" s="199"/>
      <c r="C3" s="232"/>
    </row>
    <row r="4" spans="1:6" ht="12.75" customHeight="1" x14ac:dyDescent="0.25">
      <c r="C4" s="232"/>
    </row>
    <row r="5" spans="1:6" ht="12.75" customHeight="1" x14ac:dyDescent="0.25">
      <c r="A5" s="199" t="s">
        <v>993</v>
      </c>
      <c r="C5" s="232"/>
    </row>
    <row r="6" spans="1:6" ht="12.75" customHeight="1" x14ac:dyDescent="0.25">
      <c r="A6" s="199" t="s">
        <v>0</v>
      </c>
      <c r="C6" s="232"/>
    </row>
    <row r="7" spans="1:6" ht="12.75" customHeight="1" x14ac:dyDescent="0.25">
      <c r="A7" s="199" t="s">
        <v>1</v>
      </c>
      <c r="C7" s="232"/>
    </row>
    <row r="8" spans="1:6" ht="12.75" customHeight="1" x14ac:dyDescent="0.25">
      <c r="C8" s="232"/>
    </row>
    <row r="9" spans="1:6" ht="12.75" customHeight="1" x14ac:dyDescent="0.25">
      <c r="C9" s="232"/>
    </row>
    <row r="10" spans="1:6" ht="12.75" customHeight="1" x14ac:dyDescent="0.25">
      <c r="A10" s="198" t="s">
        <v>964</v>
      </c>
      <c r="C10" s="232"/>
    </row>
    <row r="11" spans="1:6" ht="12.75" customHeight="1" x14ac:dyDescent="0.25">
      <c r="A11" s="198" t="s">
        <v>967</v>
      </c>
      <c r="C11" s="232"/>
    </row>
    <row r="12" spans="1:6" ht="12.75" customHeight="1" x14ac:dyDescent="0.25">
      <c r="C12" s="232"/>
    </row>
    <row r="13" spans="1:6" ht="12.75" customHeight="1" x14ac:dyDescent="0.25">
      <c r="C13" s="232"/>
    </row>
    <row r="14" spans="1:6" ht="12.75" customHeight="1" x14ac:dyDescent="0.25">
      <c r="A14" s="199" t="s">
        <v>2</v>
      </c>
      <c r="C14" s="232"/>
    </row>
    <row r="15" spans="1:6" ht="12.75" customHeight="1" x14ac:dyDescent="0.25">
      <c r="A15" s="199"/>
      <c r="C15" s="232"/>
    </row>
    <row r="16" spans="1:6" ht="12.75" customHeight="1" x14ac:dyDescent="0.25">
      <c r="A16" s="180" t="s">
        <v>995</v>
      </c>
      <c r="C16" s="232"/>
      <c r="F16" s="272" t="s">
        <v>994</v>
      </c>
    </row>
    <row r="17" spans="1:6" ht="12.75" customHeight="1" x14ac:dyDescent="0.25">
      <c r="A17" s="180" t="s">
        <v>966</v>
      </c>
      <c r="C17" s="272" t="s">
        <v>994</v>
      </c>
    </row>
    <row r="18" spans="1:6" ht="12.75" customHeight="1" x14ac:dyDescent="0.25">
      <c r="A18" s="224"/>
      <c r="C18" s="232"/>
    </row>
    <row r="19" spans="1:6" ht="12.75" customHeight="1" x14ac:dyDescent="0.25">
      <c r="C19" s="232"/>
    </row>
    <row r="20" spans="1:6" ht="12.75" customHeight="1" x14ac:dyDescent="0.25">
      <c r="A20" s="268" t="s">
        <v>970</v>
      </c>
      <c r="B20" s="268"/>
      <c r="C20" s="273"/>
      <c r="D20" s="268"/>
      <c r="E20" s="268"/>
      <c r="F20" s="268"/>
    </row>
    <row r="21" spans="1:6" ht="22.5" customHeight="1" x14ac:dyDescent="0.25">
      <c r="A21" s="199"/>
      <c r="C21" s="232"/>
    </row>
    <row r="22" spans="1:6" ht="12.6" customHeight="1" x14ac:dyDescent="0.25">
      <c r="A22" s="233" t="s">
        <v>990</v>
      </c>
      <c r="B22" s="234"/>
      <c r="C22" s="235"/>
      <c r="D22" s="233"/>
      <c r="E22" s="233"/>
    </row>
    <row r="23" spans="1:6" ht="12.6" customHeight="1" x14ac:dyDescent="0.25">
      <c r="B23" s="199"/>
      <c r="C23" s="232"/>
    </row>
    <row r="24" spans="1:6" ht="12.6" customHeight="1" x14ac:dyDescent="0.25">
      <c r="A24" s="236" t="s">
        <v>3</v>
      </c>
      <c r="C24" s="232"/>
    </row>
    <row r="25" spans="1:6" ht="12.6" customHeight="1" x14ac:dyDescent="0.25">
      <c r="A25" s="198" t="s">
        <v>971</v>
      </c>
      <c r="C25" s="232"/>
    </row>
    <row r="26" spans="1:6" ht="12.6" customHeight="1" x14ac:dyDescent="0.25">
      <c r="A26" s="199" t="s">
        <v>4</v>
      </c>
      <c r="C26" s="232"/>
    </row>
    <row r="27" spans="1:6" ht="12.6" customHeight="1" x14ac:dyDescent="0.25">
      <c r="A27" s="198" t="s">
        <v>972</v>
      </c>
      <c r="C27" s="232"/>
    </row>
    <row r="28" spans="1:6" ht="12.6" customHeight="1" x14ac:dyDescent="0.25">
      <c r="A28" s="199" t="s">
        <v>5</v>
      </c>
      <c r="C28" s="232"/>
    </row>
    <row r="29" spans="1:6" ht="12.6" customHeight="1" x14ac:dyDescent="0.25">
      <c r="A29" s="198"/>
      <c r="C29" s="232"/>
    </row>
    <row r="30" spans="1:6" ht="12.6" customHeight="1" x14ac:dyDescent="0.25">
      <c r="A30" s="180" t="s">
        <v>6</v>
      </c>
      <c r="C30" s="232"/>
    </row>
    <row r="31" spans="1:6" ht="12.6" customHeight="1" x14ac:dyDescent="0.25">
      <c r="A31" s="199" t="s">
        <v>7</v>
      </c>
      <c r="C31" s="232"/>
    </row>
    <row r="32" spans="1:6" ht="12.6" customHeight="1" x14ac:dyDescent="0.25">
      <c r="A32" s="199" t="s">
        <v>8</v>
      </c>
      <c r="C32" s="232"/>
    </row>
    <row r="33" spans="1:83" ht="12.6" customHeight="1" x14ac:dyDescent="0.25">
      <c r="A33" s="198" t="s">
        <v>973</v>
      </c>
      <c r="C33" s="232"/>
    </row>
    <row r="34" spans="1:83" ht="12.6" customHeight="1" x14ac:dyDescent="0.25">
      <c r="A34" s="199" t="s">
        <v>9</v>
      </c>
      <c r="C34" s="232"/>
    </row>
    <row r="35" spans="1:83" ht="12.6" customHeight="1" x14ac:dyDescent="0.25">
      <c r="A35" s="199"/>
      <c r="C35" s="232"/>
    </row>
    <row r="36" spans="1:83" ht="12.6" customHeight="1" x14ac:dyDescent="0.25">
      <c r="A36" s="198" t="s">
        <v>974</v>
      </c>
      <c r="C36" s="232"/>
    </row>
    <row r="37" spans="1:83" ht="12.6" customHeight="1" x14ac:dyDescent="0.25">
      <c r="A37" s="199" t="s">
        <v>965</v>
      </c>
      <c r="C37" s="232"/>
    </row>
    <row r="38" spans="1:83" ht="12" customHeight="1" x14ac:dyDescent="0.25">
      <c r="A38" s="198"/>
      <c r="C38" s="232"/>
    </row>
    <row r="39" spans="1:83" ht="12.6" customHeight="1" x14ac:dyDescent="0.25">
      <c r="A39" s="199"/>
      <c r="C39" s="232"/>
    </row>
    <row r="40" spans="1:83" ht="12" customHeight="1" x14ac:dyDescent="0.25">
      <c r="A40" s="199"/>
      <c r="C40" s="232"/>
    </row>
    <row r="41" spans="1:83" ht="12" customHeight="1" x14ac:dyDescent="0.25">
      <c r="A41" s="199"/>
      <c r="C41" s="237"/>
      <c r="D41" s="238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237"/>
      <c r="BB41" s="237"/>
      <c r="BC41" s="237"/>
      <c r="BD41" s="237"/>
      <c r="BE41" s="237"/>
      <c r="BF41" s="237"/>
      <c r="BG41" s="237"/>
      <c r="BH41" s="237"/>
      <c r="BI41" s="237"/>
      <c r="BJ41" s="237"/>
      <c r="BK41" s="237"/>
      <c r="BL41" s="237"/>
      <c r="BM41" s="237"/>
      <c r="BN41" s="237"/>
      <c r="BO41" s="237"/>
      <c r="BP41" s="237"/>
      <c r="BQ41" s="237"/>
      <c r="BR41" s="237"/>
      <c r="BS41" s="237"/>
      <c r="BT41" s="237"/>
      <c r="BU41" s="237"/>
      <c r="BV41" s="237"/>
      <c r="BW41" s="237"/>
      <c r="BX41" s="237"/>
      <c r="BY41" s="237"/>
      <c r="BZ41" s="237"/>
      <c r="CA41" s="237"/>
      <c r="CB41" s="237"/>
      <c r="CC41" s="237"/>
    </row>
    <row r="42" spans="1:83" ht="12" customHeight="1" x14ac:dyDescent="0.25">
      <c r="A42" s="199"/>
      <c r="C42" s="237"/>
      <c r="D42" s="238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  <c r="AZ42" s="237"/>
      <c r="BA42" s="237"/>
      <c r="BB42" s="237"/>
      <c r="BC42" s="237"/>
      <c r="BD42" s="237"/>
      <c r="BE42" s="237"/>
      <c r="BF42" s="237"/>
      <c r="BG42" s="237"/>
      <c r="BH42" s="237"/>
      <c r="BI42" s="237"/>
      <c r="BJ42" s="237"/>
      <c r="BK42" s="237"/>
      <c r="BL42" s="237"/>
      <c r="BM42" s="237"/>
      <c r="BN42" s="237"/>
      <c r="BO42" s="237"/>
      <c r="BP42" s="237"/>
      <c r="BQ42" s="237"/>
      <c r="BR42" s="237"/>
      <c r="BS42" s="237"/>
      <c r="BT42" s="237"/>
      <c r="BU42" s="237"/>
      <c r="BV42" s="237"/>
      <c r="BW42" s="237"/>
      <c r="BX42" s="237"/>
      <c r="BY42" s="237"/>
      <c r="BZ42" s="237"/>
      <c r="CA42" s="237"/>
      <c r="CB42" s="237"/>
      <c r="CC42" s="237"/>
      <c r="CD42" s="239"/>
    </row>
    <row r="43" spans="1:83" ht="12" customHeight="1" x14ac:dyDescent="0.25">
      <c r="A43" s="199"/>
      <c r="C43" s="232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0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930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4078462</v>
      </c>
      <c r="C48" s="241">
        <f>ROUND(((B48/CE61)*C61),0)</f>
        <v>0</v>
      </c>
      <c r="D48" s="241">
        <f>ROUND(((B48/CE61)*D61),0)</f>
        <v>0</v>
      </c>
      <c r="E48" s="195">
        <f>ROUND(((B48/CE61)*E61),0)</f>
        <v>499313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584097</v>
      </c>
      <c r="Q48" s="195">
        <f>ROUND(((B48/CE61)*Q61),0)</f>
        <v>53287</v>
      </c>
      <c r="R48" s="195">
        <f>ROUND(((B48/CE61)*R61),0)</f>
        <v>525472</v>
      </c>
      <c r="S48" s="195">
        <f>ROUND(((B48/CE61)*S61),0)</f>
        <v>32004</v>
      </c>
      <c r="T48" s="195">
        <f>ROUND(((B48/CE61)*T61),0)</f>
        <v>0</v>
      </c>
      <c r="U48" s="195">
        <f>ROUND(((B48/CE61)*U61),0)</f>
        <v>37112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90284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76925</v>
      </c>
      <c r="AC48" s="195">
        <f>ROUND(((B48/CE61)*AC61),0)</f>
        <v>82809</v>
      </c>
      <c r="AD48" s="195">
        <f>ROUND(((B48/CE61)*AD61),0)</f>
        <v>0</v>
      </c>
      <c r="AE48" s="195">
        <f>ROUND(((B48/CE61)*AE61),0)</f>
        <v>107413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176397</v>
      </c>
      <c r="AK48" s="195">
        <f>ROUND(((B48/CE61)*AK61),0)</f>
        <v>181440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119372</v>
      </c>
      <c r="BA48" s="195">
        <f>ROUND(((B48/CE61)*BA61),0)</f>
        <v>14650</v>
      </c>
      <c r="BB48" s="195">
        <f>ROUND(((B48/CE61)*BB61),0)</f>
        <v>157752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83605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748831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118061</v>
      </c>
      <c r="BR48" s="195">
        <f>ROUND(((B48/CE61)*BR61),0)</f>
        <v>45987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56361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141347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145940</v>
      </c>
      <c r="CD48" s="195"/>
      <c r="CE48" s="195">
        <f>SUM(C48:CD48)</f>
        <v>4078459</v>
      </c>
    </row>
    <row r="49" spans="1:84" ht="12.6" customHeight="1" x14ac:dyDescent="0.25">
      <c r="A49" s="175" t="s">
        <v>206</v>
      </c>
      <c r="B49" s="195">
        <f>B47+B48</f>
        <v>4078462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1042751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190581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48036</v>
      </c>
      <c r="Q52" s="195">
        <f>ROUND((B52/(CE76+CF76)*Q76),0)</f>
        <v>16568</v>
      </c>
      <c r="R52" s="195">
        <f>ROUND((B52/(CE76+CF76)*R76),0)</f>
        <v>6334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5417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37848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3525</v>
      </c>
      <c r="AC52" s="195">
        <f>ROUND((B52/(CE76+CF76)*AC76),0)</f>
        <v>1210</v>
      </c>
      <c r="AD52" s="195">
        <f>ROUND((B52/(CE76+CF76)*AD76),0)</f>
        <v>0</v>
      </c>
      <c r="AE52" s="195">
        <f>ROUND((B52/(CE76+CF76)*AE76),0)</f>
        <v>61349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103275</v>
      </c>
      <c r="AK52" s="195">
        <f>ROUND((B52/(CE76+CF76)*AK76),0)</f>
        <v>96143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51761</v>
      </c>
      <c r="AZ52" s="195">
        <f>ROUND((B52/(CE76+CF76)*AZ76),0)</f>
        <v>16909</v>
      </c>
      <c r="BA52" s="195">
        <f>ROUND((B52/(CE76+CF76)*BA76),0)</f>
        <v>18965</v>
      </c>
      <c r="BB52" s="195">
        <f>ROUND((B52/(CE76+CF76)*BB76),0)</f>
        <v>22408</v>
      </c>
      <c r="BC52" s="195">
        <f>ROUND((B52/(CE76+CF76)*BC76),0)</f>
        <v>0</v>
      </c>
      <c r="BD52" s="195">
        <f>ROUND((B52/(CE76+CF76)*BD76),0)</f>
        <v>2879</v>
      </c>
      <c r="BE52" s="195">
        <f>ROUND((B52/(CE76+CF76)*BE76),0)</f>
        <v>98610</v>
      </c>
      <c r="BF52" s="195">
        <f>ROUND((B52/(CE76+CF76)*BF76),0)</f>
        <v>8484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157010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4865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12467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15499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62607</v>
      </c>
      <c r="CD52" s="195"/>
      <c r="CE52" s="195">
        <f>SUM(C52:CD52)</f>
        <v>1042750</v>
      </c>
    </row>
    <row r="53" spans="1:84" ht="12.6" customHeight="1" x14ac:dyDescent="0.25">
      <c r="A53" s="175" t="s">
        <v>206</v>
      </c>
      <c r="B53" s="195">
        <f>B51+B52</f>
        <v>1042751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2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930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0" t="s">
        <v>220</v>
      </c>
      <c r="S58" s="243" t="s">
        <v>221</v>
      </c>
      <c r="T58" s="243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3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948</v>
      </c>
      <c r="AU58" s="170" t="s">
        <v>228</v>
      </c>
      <c r="AV58" s="243" t="s">
        <v>221</v>
      </c>
      <c r="AW58" s="243" t="s">
        <v>221</v>
      </c>
      <c r="AX58" s="243" t="s">
        <v>221</v>
      </c>
      <c r="AY58" s="170" t="s">
        <v>231</v>
      </c>
      <c r="AZ58" s="170" t="s">
        <v>231</v>
      </c>
      <c r="BA58" s="243" t="s">
        <v>221</v>
      </c>
      <c r="BB58" s="243" t="s">
        <v>221</v>
      </c>
      <c r="BC58" s="243" t="s">
        <v>221</v>
      </c>
      <c r="BD58" s="243" t="s">
        <v>221</v>
      </c>
      <c r="BE58" s="170" t="s">
        <v>232</v>
      </c>
      <c r="BF58" s="243" t="s">
        <v>221</v>
      </c>
      <c r="BG58" s="243" t="s">
        <v>221</v>
      </c>
      <c r="BH58" s="243" t="s">
        <v>221</v>
      </c>
      <c r="BI58" s="243" t="s">
        <v>221</v>
      </c>
      <c r="BJ58" s="243" t="s">
        <v>221</v>
      </c>
      <c r="BK58" s="243" t="s">
        <v>221</v>
      </c>
      <c r="BL58" s="243" t="s">
        <v>221</v>
      </c>
      <c r="BM58" s="243" t="s">
        <v>221</v>
      </c>
      <c r="BN58" s="243" t="s">
        <v>221</v>
      </c>
      <c r="BO58" s="243" t="s">
        <v>221</v>
      </c>
      <c r="BP58" s="243" t="s">
        <v>221</v>
      </c>
      <c r="BQ58" s="243" t="s">
        <v>221</v>
      </c>
      <c r="BR58" s="243" t="s">
        <v>221</v>
      </c>
      <c r="BS58" s="243" t="s">
        <v>221</v>
      </c>
      <c r="BT58" s="243" t="s">
        <v>221</v>
      </c>
      <c r="BU58" s="243" t="s">
        <v>221</v>
      </c>
      <c r="BV58" s="243" t="s">
        <v>221</v>
      </c>
      <c r="BW58" s="243" t="s">
        <v>221</v>
      </c>
      <c r="BX58" s="243" t="s">
        <v>221</v>
      </c>
      <c r="BY58" s="243" t="s">
        <v>221</v>
      </c>
      <c r="BZ58" s="243" t="s">
        <v>221</v>
      </c>
      <c r="CA58" s="243" t="s">
        <v>221</v>
      </c>
      <c r="CB58" s="243" t="s">
        <v>221</v>
      </c>
      <c r="CC58" s="243" t="s">
        <v>221</v>
      </c>
      <c r="CD58" s="243" t="s">
        <v>221</v>
      </c>
      <c r="CE58" s="243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>
        <v>694</v>
      </c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5"/>
      <c r="Q59" s="185"/>
      <c r="R59" s="185"/>
      <c r="S59" s="244"/>
      <c r="T59" s="244"/>
      <c r="U59" s="220"/>
      <c r="V59" s="185"/>
      <c r="W59" s="185"/>
      <c r="X59" s="185"/>
      <c r="Y59" s="185"/>
      <c r="Z59" s="185"/>
      <c r="AA59" s="185"/>
      <c r="AB59" s="244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4"/>
      <c r="AW59" s="244"/>
      <c r="AX59" s="244"/>
      <c r="AY59" s="185">
        <v>4740</v>
      </c>
      <c r="AZ59" s="185">
        <v>19660</v>
      </c>
      <c r="BA59" s="244"/>
      <c r="BB59" s="244"/>
      <c r="BC59" s="244"/>
      <c r="BD59" s="244"/>
      <c r="BE59" s="185">
        <v>88741</v>
      </c>
      <c r="BF59" s="244"/>
      <c r="BG59" s="244"/>
      <c r="BH59" s="244"/>
      <c r="BI59" s="244"/>
      <c r="BJ59" s="244"/>
      <c r="BK59" s="244"/>
      <c r="BL59" s="244"/>
      <c r="BM59" s="244"/>
      <c r="BN59" s="244"/>
      <c r="BO59" s="244"/>
      <c r="BP59" s="244"/>
      <c r="BQ59" s="244"/>
      <c r="BR59" s="244"/>
      <c r="BS59" s="244"/>
      <c r="BT59" s="244"/>
      <c r="BU59" s="244"/>
      <c r="BV59" s="244"/>
      <c r="BW59" s="244"/>
      <c r="BX59" s="244"/>
      <c r="BY59" s="244"/>
      <c r="BZ59" s="244"/>
      <c r="CA59" s="244"/>
      <c r="CB59" s="244"/>
      <c r="CC59" s="244"/>
      <c r="CD59" s="245"/>
      <c r="CE59" s="195"/>
    </row>
    <row r="60" spans="1:84" ht="12.6" customHeight="1" x14ac:dyDescent="0.25">
      <c r="A60" s="246" t="s">
        <v>234</v>
      </c>
      <c r="B60" s="175"/>
      <c r="C60" s="186"/>
      <c r="D60" s="187"/>
      <c r="E60" s="187">
        <v>16.16</v>
      </c>
      <c r="F60" s="219"/>
      <c r="G60" s="187"/>
      <c r="H60" s="187"/>
      <c r="I60" s="187"/>
      <c r="J60" s="219"/>
      <c r="K60" s="187"/>
      <c r="L60" s="187"/>
      <c r="M60" s="187"/>
      <c r="N60" s="187"/>
      <c r="O60" s="187"/>
      <c r="P60" s="217">
        <v>8.17</v>
      </c>
      <c r="Q60" s="217">
        <v>1.95</v>
      </c>
      <c r="R60" s="217">
        <v>4.33</v>
      </c>
      <c r="S60" s="217"/>
      <c r="T60" s="217"/>
      <c r="U60" s="217">
        <v>1.27</v>
      </c>
      <c r="V60" s="217"/>
      <c r="W60" s="217"/>
      <c r="X60" s="217"/>
      <c r="Y60" s="217">
        <v>4.2</v>
      </c>
      <c r="Z60" s="217"/>
      <c r="AA60" s="217"/>
      <c r="AB60" s="217">
        <v>1.58</v>
      </c>
      <c r="AC60" s="217">
        <v>3.08</v>
      </c>
      <c r="AD60" s="217"/>
      <c r="AE60" s="217">
        <v>3.81</v>
      </c>
      <c r="AF60" s="217"/>
      <c r="AG60" s="217"/>
      <c r="AH60" s="217"/>
      <c r="AI60" s="217"/>
      <c r="AJ60" s="217">
        <v>9</v>
      </c>
      <c r="AK60" s="217">
        <v>6.48</v>
      </c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  <c r="AW60" s="217"/>
      <c r="AX60" s="217"/>
      <c r="AY60" s="217"/>
      <c r="AZ60" s="217"/>
      <c r="BA60" s="217"/>
      <c r="BB60" s="217"/>
      <c r="BC60" s="217"/>
      <c r="BD60" s="217"/>
      <c r="BE60" s="217"/>
      <c r="BF60" s="217"/>
      <c r="BG60" s="217"/>
      <c r="BH60" s="217"/>
      <c r="BI60" s="217"/>
      <c r="BJ60" s="217"/>
      <c r="BK60" s="217"/>
      <c r="BL60" s="217"/>
      <c r="BM60" s="217"/>
      <c r="BN60" s="217"/>
      <c r="BO60" s="217"/>
      <c r="BP60" s="217"/>
      <c r="BQ60" s="217"/>
      <c r="BR60" s="217"/>
      <c r="BS60" s="217"/>
      <c r="BT60" s="217"/>
      <c r="BU60" s="217"/>
      <c r="BV60" s="217"/>
      <c r="BW60" s="217"/>
      <c r="BX60" s="217"/>
      <c r="BY60" s="217"/>
      <c r="BZ60" s="217"/>
      <c r="CA60" s="217"/>
      <c r="CB60" s="217"/>
      <c r="CC60" s="217"/>
      <c r="CD60" s="245" t="s">
        <v>221</v>
      </c>
      <c r="CE60" s="247">
        <f t="shared" ref="CE60:CE70" si="0">SUM(C60:CD60)</f>
        <v>60.03</v>
      </c>
    </row>
    <row r="61" spans="1:84" ht="12.6" customHeight="1" x14ac:dyDescent="0.25">
      <c r="A61" s="171" t="s">
        <v>235</v>
      </c>
      <c r="B61" s="175"/>
      <c r="C61" s="184"/>
      <c r="D61" s="184"/>
      <c r="E61" s="184">
        <v>1766649</v>
      </c>
      <c r="F61" s="185"/>
      <c r="G61" s="184"/>
      <c r="H61" s="184"/>
      <c r="I61" s="185"/>
      <c r="J61" s="185"/>
      <c r="K61" s="185"/>
      <c r="L61" s="185"/>
      <c r="M61" s="184"/>
      <c r="N61" s="184"/>
      <c r="O61" s="184"/>
      <c r="P61" s="185">
        <v>2066631</v>
      </c>
      <c r="Q61" s="185">
        <v>188539</v>
      </c>
      <c r="R61" s="185">
        <v>1859203</v>
      </c>
      <c r="S61" s="185">
        <v>113235</v>
      </c>
      <c r="T61" s="185"/>
      <c r="U61" s="185">
        <v>131310</v>
      </c>
      <c r="V61" s="185"/>
      <c r="W61" s="185"/>
      <c r="X61" s="185"/>
      <c r="Y61" s="185">
        <v>319441</v>
      </c>
      <c r="Z61" s="185"/>
      <c r="AA61" s="185"/>
      <c r="AB61" s="185">
        <v>272172</v>
      </c>
      <c r="AC61" s="185">
        <v>292992</v>
      </c>
      <c r="AD61" s="185"/>
      <c r="AE61" s="185">
        <v>380046</v>
      </c>
      <c r="AF61" s="185"/>
      <c r="AG61" s="185"/>
      <c r="AH61" s="185"/>
      <c r="AI61" s="185"/>
      <c r="AJ61" s="185">
        <v>624120</v>
      </c>
      <c r="AK61" s="185">
        <v>641965</v>
      </c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/>
      <c r="AZ61" s="185">
        <v>422359</v>
      </c>
      <c r="BA61" s="185">
        <v>51833</v>
      </c>
      <c r="BB61" s="185">
        <v>558152</v>
      </c>
      <c r="BC61" s="185"/>
      <c r="BD61" s="185"/>
      <c r="BE61" s="185"/>
      <c r="BF61" s="185">
        <v>295809</v>
      </c>
      <c r="BG61" s="185"/>
      <c r="BH61" s="185"/>
      <c r="BI61" s="185"/>
      <c r="BJ61" s="185"/>
      <c r="BK61" s="185"/>
      <c r="BL61" s="185"/>
      <c r="BM61" s="185"/>
      <c r="BN61" s="185">
        <v>2649486</v>
      </c>
      <c r="BO61" s="185"/>
      <c r="BP61" s="185"/>
      <c r="BQ61" s="185">
        <v>417719</v>
      </c>
      <c r="BR61" s="185">
        <v>162710</v>
      </c>
      <c r="BS61" s="185"/>
      <c r="BT61" s="185"/>
      <c r="BU61" s="185">
        <v>199415</v>
      </c>
      <c r="BV61" s="185"/>
      <c r="BW61" s="185"/>
      <c r="BX61" s="185"/>
      <c r="BY61" s="185">
        <v>500109</v>
      </c>
      <c r="BZ61" s="185"/>
      <c r="CA61" s="185"/>
      <c r="CB61" s="185"/>
      <c r="CC61" s="185">
        <f>58697+15717+415231+26716</f>
        <v>516361</v>
      </c>
      <c r="CD61" s="245" t="s">
        <v>221</v>
      </c>
      <c r="CE61" s="195">
        <f t="shared" si="0"/>
        <v>14430256</v>
      </c>
      <c r="CF61" s="248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499313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584097</v>
      </c>
      <c r="Q62" s="195">
        <f t="shared" si="1"/>
        <v>53287</v>
      </c>
      <c r="R62" s="195">
        <f t="shared" si="1"/>
        <v>525472</v>
      </c>
      <c r="S62" s="195">
        <f t="shared" si="1"/>
        <v>32004</v>
      </c>
      <c r="T62" s="195">
        <f t="shared" si="1"/>
        <v>0</v>
      </c>
      <c r="U62" s="195">
        <f t="shared" si="1"/>
        <v>37112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90284</v>
      </c>
      <c r="Z62" s="195">
        <f t="shared" si="1"/>
        <v>0</v>
      </c>
      <c r="AA62" s="195">
        <f t="shared" si="1"/>
        <v>0</v>
      </c>
      <c r="AB62" s="195">
        <f t="shared" si="1"/>
        <v>76925</v>
      </c>
      <c r="AC62" s="195">
        <f t="shared" si="1"/>
        <v>82809</v>
      </c>
      <c r="AD62" s="195">
        <f t="shared" si="1"/>
        <v>0</v>
      </c>
      <c r="AE62" s="195">
        <f t="shared" si="1"/>
        <v>107413</v>
      </c>
      <c r="AF62" s="195">
        <f t="shared" si="1"/>
        <v>0</v>
      </c>
      <c r="AG62" s="195">
        <f t="shared" si="1"/>
        <v>0</v>
      </c>
      <c r="AH62" s="195">
        <f t="shared" si="1"/>
        <v>0</v>
      </c>
      <c r="AI62" s="195">
        <f t="shared" si="1"/>
        <v>0</v>
      </c>
      <c r="AJ62" s="195">
        <f t="shared" si="1"/>
        <v>176397</v>
      </c>
      <c r="AK62" s="195">
        <f t="shared" si="1"/>
        <v>181440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0</v>
      </c>
      <c r="AZ62" s="195">
        <f>ROUND(AZ47+AZ48,0)</f>
        <v>119372</v>
      </c>
      <c r="BA62" s="195">
        <f>ROUND(BA47+BA48,0)</f>
        <v>14650</v>
      </c>
      <c r="BB62" s="195">
        <f t="shared" si="1"/>
        <v>157752</v>
      </c>
      <c r="BC62" s="195">
        <f t="shared" si="1"/>
        <v>0</v>
      </c>
      <c r="BD62" s="195">
        <f t="shared" si="1"/>
        <v>0</v>
      </c>
      <c r="BE62" s="195">
        <f t="shared" si="1"/>
        <v>0</v>
      </c>
      <c r="BF62" s="195">
        <f t="shared" si="1"/>
        <v>83605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748831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118061</v>
      </c>
      <c r="BR62" s="195">
        <f t="shared" si="2"/>
        <v>45987</v>
      </c>
      <c r="BS62" s="195">
        <f t="shared" si="2"/>
        <v>0</v>
      </c>
      <c r="BT62" s="195">
        <f t="shared" si="2"/>
        <v>0</v>
      </c>
      <c r="BU62" s="195">
        <f t="shared" si="2"/>
        <v>56361</v>
      </c>
      <c r="BV62" s="195">
        <f t="shared" si="2"/>
        <v>0</v>
      </c>
      <c r="BW62" s="195">
        <f t="shared" si="2"/>
        <v>0</v>
      </c>
      <c r="BX62" s="195">
        <f t="shared" si="2"/>
        <v>0</v>
      </c>
      <c r="BY62" s="195">
        <f t="shared" si="2"/>
        <v>141347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145940</v>
      </c>
      <c r="CD62" s="245" t="s">
        <v>221</v>
      </c>
      <c r="CE62" s="195">
        <f t="shared" si="0"/>
        <v>4078459</v>
      </c>
      <c r="CF62" s="248"/>
    </row>
    <row r="63" spans="1:84" ht="12.6" customHeight="1" x14ac:dyDescent="0.25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45" t="s">
        <v>221</v>
      </c>
      <c r="CE63" s="195">
        <f t="shared" si="0"/>
        <v>0</v>
      </c>
      <c r="CF63" s="248"/>
    </row>
    <row r="64" spans="1:84" ht="12.6" customHeight="1" x14ac:dyDescent="0.25">
      <c r="A64" s="171" t="s">
        <v>237</v>
      </c>
      <c r="B64" s="175"/>
      <c r="C64" s="184"/>
      <c r="D64" s="184"/>
      <c r="E64" s="185">
        <v>1</v>
      </c>
      <c r="F64" s="185"/>
      <c r="G64" s="184"/>
      <c r="H64" s="184"/>
      <c r="I64" s="185"/>
      <c r="J64" s="185"/>
      <c r="K64" s="185"/>
      <c r="L64" s="185"/>
      <c r="M64" s="184"/>
      <c r="N64" s="184"/>
      <c r="O64" s="184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/>
      <c r="AZ64" s="185"/>
      <c r="BA64" s="185"/>
      <c r="BB64" s="185"/>
      <c r="BC64" s="185"/>
      <c r="BD64" s="185"/>
      <c r="BE64" s="185"/>
      <c r="BF64" s="185"/>
      <c r="BG64" s="185"/>
      <c r="BH64" s="185"/>
      <c r="BI64" s="185"/>
      <c r="BJ64" s="185"/>
      <c r="BK64" s="185"/>
      <c r="BL64" s="185"/>
      <c r="BM64" s="185"/>
      <c r="BN64" s="185"/>
      <c r="BO64" s="185"/>
      <c r="BP64" s="185"/>
      <c r="BQ64" s="185"/>
      <c r="BR64" s="185"/>
      <c r="BS64" s="185"/>
      <c r="BT64" s="185"/>
      <c r="BU64" s="185"/>
      <c r="BV64" s="185"/>
      <c r="BW64" s="185"/>
      <c r="BX64" s="185"/>
      <c r="BY64" s="185"/>
      <c r="BZ64" s="185"/>
      <c r="CA64" s="185"/>
      <c r="CB64" s="185"/>
      <c r="CC64" s="185"/>
      <c r="CD64" s="245" t="s">
        <v>221</v>
      </c>
      <c r="CE64" s="195">
        <f t="shared" si="0"/>
        <v>1</v>
      </c>
      <c r="CF64" s="248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/>
      <c r="BF65" s="185"/>
      <c r="BG65" s="185"/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45" t="s">
        <v>221</v>
      </c>
      <c r="CE65" s="195">
        <f t="shared" si="0"/>
        <v>0</v>
      </c>
      <c r="CF65" s="248"/>
    </row>
    <row r="66" spans="1:84" ht="12.6" customHeight="1" x14ac:dyDescent="0.25">
      <c r="A66" s="171" t="s">
        <v>239</v>
      </c>
      <c r="B66" s="175"/>
      <c r="C66" s="184"/>
      <c r="D66" s="184"/>
      <c r="E66" s="184"/>
      <c r="F66" s="184"/>
      <c r="G66" s="184"/>
      <c r="H66" s="184"/>
      <c r="I66" s="184"/>
      <c r="J66" s="184"/>
      <c r="K66" s="185"/>
      <c r="L66" s="185"/>
      <c r="M66" s="184"/>
      <c r="N66" s="184"/>
      <c r="O66" s="185"/>
      <c r="P66" s="185"/>
      <c r="Q66" s="185"/>
      <c r="R66" s="185"/>
      <c r="S66" s="184"/>
      <c r="T66" s="184"/>
      <c r="U66" s="185"/>
      <c r="V66" s="185"/>
      <c r="W66" s="185"/>
      <c r="X66" s="185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/>
      <c r="AZ66" s="185"/>
      <c r="BA66" s="185"/>
      <c r="BB66" s="185"/>
      <c r="BC66" s="185"/>
      <c r="BD66" s="185"/>
      <c r="BE66" s="185"/>
      <c r="BF66" s="185"/>
      <c r="BG66" s="185"/>
      <c r="BH66" s="185"/>
      <c r="BI66" s="185"/>
      <c r="BJ66" s="185"/>
      <c r="BK66" s="185"/>
      <c r="BL66" s="185"/>
      <c r="BM66" s="185"/>
      <c r="BN66" s="185"/>
      <c r="BO66" s="185"/>
      <c r="BP66" s="185"/>
      <c r="BQ66" s="185"/>
      <c r="BR66" s="185"/>
      <c r="BS66" s="185"/>
      <c r="BT66" s="185"/>
      <c r="BU66" s="185"/>
      <c r="BV66" s="185"/>
      <c r="BW66" s="185"/>
      <c r="BX66" s="185"/>
      <c r="BY66" s="185"/>
      <c r="BZ66" s="185"/>
      <c r="CA66" s="185"/>
      <c r="CB66" s="185"/>
      <c r="CC66" s="185"/>
      <c r="CD66" s="245" t="s">
        <v>221</v>
      </c>
      <c r="CE66" s="195">
        <f t="shared" si="0"/>
        <v>0</v>
      </c>
      <c r="CF66" s="248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190581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48036</v>
      </c>
      <c r="Q67" s="195">
        <f t="shared" si="3"/>
        <v>16568</v>
      </c>
      <c r="R67" s="195">
        <f t="shared" si="3"/>
        <v>6334</v>
      </c>
      <c r="S67" s="195">
        <f t="shared" si="3"/>
        <v>0</v>
      </c>
      <c r="T67" s="195">
        <f t="shared" si="3"/>
        <v>0</v>
      </c>
      <c r="U67" s="195">
        <f t="shared" si="3"/>
        <v>5417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37848</v>
      </c>
      <c r="Z67" s="195">
        <f t="shared" si="3"/>
        <v>0</v>
      </c>
      <c r="AA67" s="195">
        <f t="shared" si="3"/>
        <v>0</v>
      </c>
      <c r="AB67" s="195">
        <f t="shared" si="3"/>
        <v>3525</v>
      </c>
      <c r="AC67" s="195">
        <f t="shared" si="3"/>
        <v>1210</v>
      </c>
      <c r="AD67" s="195">
        <f t="shared" si="3"/>
        <v>0</v>
      </c>
      <c r="AE67" s="195">
        <f t="shared" si="3"/>
        <v>61349</v>
      </c>
      <c r="AF67" s="195">
        <f t="shared" si="3"/>
        <v>0</v>
      </c>
      <c r="AG67" s="195">
        <f t="shared" si="3"/>
        <v>0</v>
      </c>
      <c r="AH67" s="195">
        <f t="shared" si="3"/>
        <v>0</v>
      </c>
      <c r="AI67" s="195">
        <f t="shared" si="3"/>
        <v>0</v>
      </c>
      <c r="AJ67" s="195">
        <f t="shared" si="3"/>
        <v>103275</v>
      </c>
      <c r="AK67" s="195">
        <f t="shared" si="3"/>
        <v>96143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51761</v>
      </c>
      <c r="AZ67" s="195">
        <f>ROUND(AZ51+AZ52,0)</f>
        <v>16909</v>
      </c>
      <c r="BA67" s="195">
        <f>ROUND(BA51+BA52,0)</f>
        <v>18965</v>
      </c>
      <c r="BB67" s="195">
        <f t="shared" si="3"/>
        <v>22408</v>
      </c>
      <c r="BC67" s="195">
        <f t="shared" si="3"/>
        <v>0</v>
      </c>
      <c r="BD67" s="195">
        <f t="shared" si="3"/>
        <v>2879</v>
      </c>
      <c r="BE67" s="195">
        <f t="shared" si="3"/>
        <v>98610</v>
      </c>
      <c r="BF67" s="195">
        <f t="shared" si="3"/>
        <v>8484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157010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4865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12467</v>
      </c>
      <c r="BW67" s="195">
        <f t="shared" si="4"/>
        <v>0</v>
      </c>
      <c r="BX67" s="195">
        <f t="shared" si="4"/>
        <v>0</v>
      </c>
      <c r="BY67" s="195">
        <f t="shared" si="4"/>
        <v>15499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62607</v>
      </c>
      <c r="CD67" s="245" t="s">
        <v>221</v>
      </c>
      <c r="CE67" s="195">
        <f t="shared" si="0"/>
        <v>1042750</v>
      </c>
      <c r="CF67" s="248"/>
    </row>
    <row r="68" spans="1:84" ht="12.6" customHeight="1" x14ac:dyDescent="0.25">
      <c r="A68" s="171" t="s">
        <v>240</v>
      </c>
      <c r="B68" s="175"/>
      <c r="C68" s="184"/>
      <c r="D68" s="184"/>
      <c r="E68" s="184"/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/>
      <c r="BF68" s="185"/>
      <c r="BG68" s="185"/>
      <c r="BH68" s="185"/>
      <c r="BI68" s="185"/>
      <c r="BJ68" s="185"/>
      <c r="BK68" s="185"/>
      <c r="BL68" s="185"/>
      <c r="BM68" s="185"/>
      <c r="BN68" s="185"/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45" t="s">
        <v>221</v>
      </c>
      <c r="CE68" s="195">
        <f t="shared" si="0"/>
        <v>0</v>
      </c>
      <c r="CF68" s="248"/>
    </row>
    <row r="69" spans="1:84" ht="12.6" customHeight="1" x14ac:dyDescent="0.25">
      <c r="A69" s="171" t="s">
        <v>241</v>
      </c>
      <c r="B69" s="175"/>
      <c r="C69" s="184"/>
      <c r="D69" s="184"/>
      <c r="E69" s="185"/>
      <c r="F69" s="185"/>
      <c r="G69" s="184"/>
      <c r="H69" s="184"/>
      <c r="I69" s="185"/>
      <c r="J69" s="185"/>
      <c r="K69" s="185"/>
      <c r="L69" s="185"/>
      <c r="M69" s="184"/>
      <c r="N69" s="184"/>
      <c r="O69" s="184"/>
      <c r="P69" s="185"/>
      <c r="Q69" s="185"/>
      <c r="R69" s="220"/>
      <c r="S69" s="185"/>
      <c r="T69" s="184"/>
      <c r="U69" s="185"/>
      <c r="V69" s="185"/>
      <c r="W69" s="184"/>
      <c r="X69" s="185"/>
      <c r="Y69" s="185"/>
      <c r="Z69" s="185"/>
      <c r="AA69" s="185"/>
      <c r="AB69" s="185"/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/>
      <c r="AW69" s="185"/>
      <c r="AX69" s="185"/>
      <c r="AY69" s="185"/>
      <c r="AZ69" s="185"/>
      <c r="BA69" s="185"/>
      <c r="BB69" s="185"/>
      <c r="BC69" s="185"/>
      <c r="BD69" s="185"/>
      <c r="BE69" s="185"/>
      <c r="BF69" s="185"/>
      <c r="BG69" s="185"/>
      <c r="BH69" s="220"/>
      <c r="BI69" s="185"/>
      <c r="BJ69" s="185"/>
      <c r="BK69" s="185"/>
      <c r="BL69" s="185"/>
      <c r="BM69" s="185"/>
      <c r="BN69" s="185"/>
      <c r="BO69" s="185"/>
      <c r="BP69" s="185"/>
      <c r="BQ69" s="185"/>
      <c r="BR69" s="185"/>
      <c r="BS69" s="185"/>
      <c r="BT69" s="185"/>
      <c r="BU69" s="185"/>
      <c r="BV69" s="185"/>
      <c r="BW69" s="185"/>
      <c r="BX69" s="185"/>
      <c r="BY69" s="185"/>
      <c r="BZ69" s="185"/>
      <c r="CA69" s="185"/>
      <c r="CB69" s="185"/>
      <c r="CC69" s="185"/>
      <c r="CD69" s="188"/>
      <c r="CE69" s="195">
        <f t="shared" si="0"/>
        <v>0</v>
      </c>
      <c r="CF69" s="248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276">
        <v>1869733</v>
      </c>
      <c r="CE70" s="195">
        <f t="shared" si="0"/>
        <v>1869733</v>
      </c>
      <c r="CF70" s="248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2456544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2698764</v>
      </c>
      <c r="Q71" s="195">
        <f t="shared" si="5"/>
        <v>258394</v>
      </c>
      <c r="R71" s="195">
        <f t="shared" si="5"/>
        <v>2391009</v>
      </c>
      <c r="S71" s="195">
        <f t="shared" si="5"/>
        <v>145239</v>
      </c>
      <c r="T71" s="195">
        <f t="shared" si="5"/>
        <v>0</v>
      </c>
      <c r="U71" s="195">
        <f t="shared" si="5"/>
        <v>173839</v>
      </c>
      <c r="V71" s="195">
        <f t="shared" si="5"/>
        <v>0</v>
      </c>
      <c r="W71" s="195">
        <f t="shared" si="5"/>
        <v>0</v>
      </c>
      <c r="X71" s="195">
        <f t="shared" si="5"/>
        <v>0</v>
      </c>
      <c r="Y71" s="195">
        <f t="shared" si="5"/>
        <v>447573</v>
      </c>
      <c r="Z71" s="195">
        <f t="shared" si="5"/>
        <v>0</v>
      </c>
      <c r="AA71" s="195">
        <f t="shared" si="5"/>
        <v>0</v>
      </c>
      <c r="AB71" s="195">
        <f t="shared" si="5"/>
        <v>352622</v>
      </c>
      <c r="AC71" s="195">
        <f t="shared" si="5"/>
        <v>377011</v>
      </c>
      <c r="AD71" s="195">
        <f t="shared" si="5"/>
        <v>0</v>
      </c>
      <c r="AE71" s="195">
        <f t="shared" si="5"/>
        <v>548808</v>
      </c>
      <c r="AF71" s="195">
        <f t="shared" si="5"/>
        <v>0</v>
      </c>
      <c r="AG71" s="195">
        <f t="shared" si="5"/>
        <v>0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903792</v>
      </c>
      <c r="AK71" s="195">
        <f t="shared" si="6"/>
        <v>919548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51761</v>
      </c>
      <c r="AZ71" s="195">
        <f t="shared" si="6"/>
        <v>558640</v>
      </c>
      <c r="BA71" s="195">
        <f t="shared" si="6"/>
        <v>85448</v>
      </c>
      <c r="BB71" s="195">
        <f t="shared" si="6"/>
        <v>738312</v>
      </c>
      <c r="BC71" s="195">
        <f t="shared" si="6"/>
        <v>0</v>
      </c>
      <c r="BD71" s="195">
        <f t="shared" si="6"/>
        <v>2879</v>
      </c>
      <c r="BE71" s="195">
        <f t="shared" si="6"/>
        <v>98610</v>
      </c>
      <c r="BF71" s="195">
        <f t="shared" si="6"/>
        <v>387898</v>
      </c>
      <c r="BG71" s="195">
        <f t="shared" si="6"/>
        <v>0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0</v>
      </c>
      <c r="BM71" s="195">
        <f t="shared" si="6"/>
        <v>0</v>
      </c>
      <c r="BN71" s="195">
        <f t="shared" si="6"/>
        <v>3555327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535780</v>
      </c>
      <c r="BR71" s="195">
        <f t="shared" si="7"/>
        <v>213562</v>
      </c>
      <c r="BS71" s="195">
        <f t="shared" si="7"/>
        <v>0</v>
      </c>
      <c r="BT71" s="195">
        <f t="shared" si="7"/>
        <v>0</v>
      </c>
      <c r="BU71" s="195">
        <f t="shared" si="7"/>
        <v>255776</v>
      </c>
      <c r="BV71" s="195">
        <f t="shared" si="7"/>
        <v>12467</v>
      </c>
      <c r="BW71" s="195">
        <f t="shared" si="7"/>
        <v>0</v>
      </c>
      <c r="BX71" s="195">
        <f t="shared" si="7"/>
        <v>0</v>
      </c>
      <c r="BY71" s="195">
        <f t="shared" si="7"/>
        <v>656955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724908</v>
      </c>
      <c r="CD71" s="241">
        <f>CD69-CD70</f>
        <v>-1869733</v>
      </c>
      <c r="CE71" s="195">
        <f>SUM(CE61:CE69)-CE70</f>
        <v>17681733</v>
      </c>
      <c r="CF71" s="248"/>
    </row>
    <row r="72" spans="1:84" ht="12.6" customHeight="1" x14ac:dyDescent="0.25">
      <c r="A72" s="171" t="s">
        <v>244</v>
      </c>
      <c r="B72" s="175"/>
      <c r="C72" s="245" t="s">
        <v>221</v>
      </c>
      <c r="D72" s="245" t="s">
        <v>221</v>
      </c>
      <c r="E72" s="245" t="s">
        <v>221</v>
      </c>
      <c r="F72" s="245" t="s">
        <v>221</v>
      </c>
      <c r="G72" s="245" t="s">
        <v>221</v>
      </c>
      <c r="H72" s="245" t="s">
        <v>221</v>
      </c>
      <c r="I72" s="245" t="s">
        <v>221</v>
      </c>
      <c r="J72" s="245" t="s">
        <v>221</v>
      </c>
      <c r="K72" s="249" t="s">
        <v>221</v>
      </c>
      <c r="L72" s="245" t="s">
        <v>221</v>
      </c>
      <c r="M72" s="245" t="s">
        <v>221</v>
      </c>
      <c r="N72" s="245" t="s">
        <v>221</v>
      </c>
      <c r="O72" s="245" t="s">
        <v>221</v>
      </c>
      <c r="P72" s="245" t="s">
        <v>221</v>
      </c>
      <c r="Q72" s="245" t="s">
        <v>221</v>
      </c>
      <c r="R72" s="245" t="s">
        <v>221</v>
      </c>
      <c r="S72" s="245" t="s">
        <v>221</v>
      </c>
      <c r="T72" s="245" t="s">
        <v>221</v>
      </c>
      <c r="U72" s="245" t="s">
        <v>221</v>
      </c>
      <c r="V72" s="245" t="s">
        <v>221</v>
      </c>
      <c r="W72" s="245" t="s">
        <v>221</v>
      </c>
      <c r="X72" s="245" t="s">
        <v>221</v>
      </c>
      <c r="Y72" s="245" t="s">
        <v>221</v>
      </c>
      <c r="Z72" s="245" t="s">
        <v>221</v>
      </c>
      <c r="AA72" s="245" t="s">
        <v>221</v>
      </c>
      <c r="AB72" s="245" t="s">
        <v>221</v>
      </c>
      <c r="AC72" s="245" t="s">
        <v>221</v>
      </c>
      <c r="AD72" s="245" t="s">
        <v>221</v>
      </c>
      <c r="AE72" s="245" t="s">
        <v>221</v>
      </c>
      <c r="AF72" s="245" t="s">
        <v>221</v>
      </c>
      <c r="AG72" s="245" t="s">
        <v>221</v>
      </c>
      <c r="AH72" s="245" t="s">
        <v>221</v>
      </c>
      <c r="AI72" s="245" t="s">
        <v>221</v>
      </c>
      <c r="AJ72" s="245" t="s">
        <v>221</v>
      </c>
      <c r="AK72" s="245" t="s">
        <v>221</v>
      </c>
      <c r="AL72" s="245" t="s">
        <v>221</v>
      </c>
      <c r="AM72" s="245" t="s">
        <v>221</v>
      </c>
      <c r="AN72" s="245" t="s">
        <v>221</v>
      </c>
      <c r="AO72" s="245" t="s">
        <v>221</v>
      </c>
      <c r="AP72" s="245" t="s">
        <v>221</v>
      </c>
      <c r="AQ72" s="245" t="s">
        <v>221</v>
      </c>
      <c r="AR72" s="245" t="s">
        <v>221</v>
      </c>
      <c r="AS72" s="245" t="s">
        <v>221</v>
      </c>
      <c r="AT72" s="245" t="s">
        <v>221</v>
      </c>
      <c r="AU72" s="245" t="s">
        <v>221</v>
      </c>
      <c r="AV72" s="245" t="s">
        <v>221</v>
      </c>
      <c r="AW72" s="245" t="s">
        <v>221</v>
      </c>
      <c r="AX72" s="245" t="s">
        <v>221</v>
      </c>
      <c r="AY72" s="245" t="s">
        <v>221</v>
      </c>
      <c r="AZ72" s="245" t="s">
        <v>221</v>
      </c>
      <c r="BA72" s="245" t="s">
        <v>221</v>
      </c>
      <c r="BB72" s="245" t="s">
        <v>221</v>
      </c>
      <c r="BC72" s="245" t="s">
        <v>221</v>
      </c>
      <c r="BD72" s="245" t="s">
        <v>221</v>
      </c>
      <c r="BE72" s="245" t="s">
        <v>221</v>
      </c>
      <c r="BF72" s="245" t="s">
        <v>221</v>
      </c>
      <c r="BG72" s="245" t="s">
        <v>221</v>
      </c>
      <c r="BH72" s="245" t="s">
        <v>221</v>
      </c>
      <c r="BI72" s="245" t="s">
        <v>221</v>
      </c>
      <c r="BJ72" s="245" t="s">
        <v>221</v>
      </c>
      <c r="BK72" s="245" t="s">
        <v>221</v>
      </c>
      <c r="BL72" s="245" t="s">
        <v>221</v>
      </c>
      <c r="BM72" s="245" t="s">
        <v>221</v>
      </c>
      <c r="BN72" s="245" t="s">
        <v>221</v>
      </c>
      <c r="BO72" s="245" t="s">
        <v>221</v>
      </c>
      <c r="BP72" s="245" t="s">
        <v>221</v>
      </c>
      <c r="BQ72" s="245" t="s">
        <v>221</v>
      </c>
      <c r="BR72" s="245" t="s">
        <v>221</v>
      </c>
      <c r="BS72" s="245" t="s">
        <v>221</v>
      </c>
      <c r="BT72" s="245" t="s">
        <v>221</v>
      </c>
      <c r="BU72" s="245" t="s">
        <v>221</v>
      </c>
      <c r="BV72" s="245" t="s">
        <v>221</v>
      </c>
      <c r="BW72" s="245" t="s">
        <v>221</v>
      </c>
      <c r="BX72" s="245" t="s">
        <v>221</v>
      </c>
      <c r="BY72" s="245" t="s">
        <v>221</v>
      </c>
      <c r="BZ72" s="245" t="s">
        <v>221</v>
      </c>
      <c r="CA72" s="245" t="s">
        <v>221</v>
      </c>
      <c r="CB72" s="245" t="s">
        <v>221</v>
      </c>
      <c r="CC72" s="245" t="s">
        <v>221</v>
      </c>
      <c r="CD72" s="245" t="s">
        <v>221</v>
      </c>
      <c r="CE72" s="188"/>
      <c r="CF72" s="248"/>
    </row>
    <row r="73" spans="1:84" ht="12.6" customHeight="1" x14ac:dyDescent="0.25">
      <c r="A73" s="171" t="s">
        <v>245</v>
      </c>
      <c r="B73" s="175"/>
      <c r="C73" s="184"/>
      <c r="D73" s="184"/>
      <c r="E73" s="185">
        <v>1603974</v>
      </c>
      <c r="F73" s="185"/>
      <c r="G73" s="184"/>
      <c r="H73" s="184"/>
      <c r="I73" s="185"/>
      <c r="J73" s="185"/>
      <c r="K73" s="185"/>
      <c r="L73" s="185"/>
      <c r="M73" s="184"/>
      <c r="N73" s="184"/>
      <c r="O73" s="184"/>
      <c r="P73" s="185">
        <v>2632950</v>
      </c>
      <c r="Q73" s="185">
        <v>198877</v>
      </c>
      <c r="R73" s="185">
        <v>822682</v>
      </c>
      <c r="S73" s="185">
        <f>394257+2818211</f>
        <v>3212468</v>
      </c>
      <c r="T73" s="185"/>
      <c r="U73" s="185">
        <v>105016</v>
      </c>
      <c r="V73" s="185"/>
      <c r="W73" s="185"/>
      <c r="X73" s="185"/>
      <c r="Y73" s="185">
        <v>165508</v>
      </c>
      <c r="Z73" s="185"/>
      <c r="AA73" s="185"/>
      <c r="AB73" s="185">
        <v>897495</v>
      </c>
      <c r="AC73" s="185">
        <v>258606</v>
      </c>
      <c r="AD73" s="185"/>
      <c r="AE73" s="185">
        <v>98838</v>
      </c>
      <c r="AF73" s="185"/>
      <c r="AG73" s="185"/>
      <c r="AH73" s="185"/>
      <c r="AI73" s="185"/>
      <c r="AJ73" s="185">
        <v>10112</v>
      </c>
      <c r="AK73" s="185">
        <v>823</v>
      </c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5" t="s">
        <v>221</v>
      </c>
      <c r="AX73" s="245" t="s">
        <v>221</v>
      </c>
      <c r="AY73" s="245" t="s">
        <v>221</v>
      </c>
      <c r="AZ73" s="245" t="s">
        <v>221</v>
      </c>
      <c r="BA73" s="245" t="s">
        <v>221</v>
      </c>
      <c r="BB73" s="245" t="s">
        <v>221</v>
      </c>
      <c r="BC73" s="245" t="s">
        <v>221</v>
      </c>
      <c r="BD73" s="245" t="s">
        <v>221</v>
      </c>
      <c r="BE73" s="245" t="s">
        <v>221</v>
      </c>
      <c r="BF73" s="245" t="s">
        <v>221</v>
      </c>
      <c r="BG73" s="245" t="s">
        <v>221</v>
      </c>
      <c r="BH73" s="245" t="s">
        <v>221</v>
      </c>
      <c r="BI73" s="245" t="s">
        <v>221</v>
      </c>
      <c r="BJ73" s="245" t="s">
        <v>221</v>
      </c>
      <c r="BK73" s="245" t="s">
        <v>221</v>
      </c>
      <c r="BL73" s="245" t="s">
        <v>221</v>
      </c>
      <c r="BM73" s="245" t="s">
        <v>221</v>
      </c>
      <c r="BN73" s="245" t="s">
        <v>221</v>
      </c>
      <c r="BO73" s="245" t="s">
        <v>221</v>
      </c>
      <c r="BP73" s="245" t="s">
        <v>221</v>
      </c>
      <c r="BQ73" s="245" t="s">
        <v>221</v>
      </c>
      <c r="BR73" s="245" t="s">
        <v>221</v>
      </c>
      <c r="BS73" s="245" t="s">
        <v>221</v>
      </c>
      <c r="BT73" s="245" t="s">
        <v>221</v>
      </c>
      <c r="BU73" s="245" t="s">
        <v>221</v>
      </c>
      <c r="BV73" s="245" t="s">
        <v>221</v>
      </c>
      <c r="BW73" s="245" t="s">
        <v>221</v>
      </c>
      <c r="BX73" s="245" t="s">
        <v>221</v>
      </c>
      <c r="BY73" s="245" t="s">
        <v>221</v>
      </c>
      <c r="BZ73" s="245" t="s">
        <v>221</v>
      </c>
      <c r="CA73" s="245" t="s">
        <v>221</v>
      </c>
      <c r="CB73" s="245" t="s">
        <v>221</v>
      </c>
      <c r="CC73" s="245" t="s">
        <v>221</v>
      </c>
      <c r="CD73" s="245" t="s">
        <v>221</v>
      </c>
      <c r="CE73" s="195">
        <f t="shared" ref="CE73:CE80" si="8">SUM(C73:CD73)</f>
        <v>10007349</v>
      </c>
      <c r="CF73" s="248"/>
    </row>
    <row r="74" spans="1:84" ht="12.6" customHeight="1" x14ac:dyDescent="0.25">
      <c r="A74" s="171" t="s">
        <v>246</v>
      </c>
      <c r="B74" s="175"/>
      <c r="C74" s="184"/>
      <c r="D74" s="184"/>
      <c r="E74" s="185">
        <v>0</v>
      </c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>
        <v>7803553</v>
      </c>
      <c r="Q74" s="185">
        <v>872060</v>
      </c>
      <c r="R74" s="185">
        <v>2992114</v>
      </c>
      <c r="S74" s="185">
        <f>169744+692781</f>
        <v>862525</v>
      </c>
      <c r="T74" s="185"/>
      <c r="U74" s="185">
        <v>80534</v>
      </c>
      <c r="V74" s="185"/>
      <c r="W74" s="185"/>
      <c r="X74" s="185"/>
      <c r="Y74" s="185">
        <v>3088444</v>
      </c>
      <c r="Z74" s="185"/>
      <c r="AA74" s="185"/>
      <c r="AB74" s="185">
        <v>1238540</v>
      </c>
      <c r="AC74" s="185">
        <v>163706</v>
      </c>
      <c r="AD74" s="185"/>
      <c r="AE74" s="185">
        <v>940630</v>
      </c>
      <c r="AF74" s="185"/>
      <c r="AG74" s="185"/>
      <c r="AH74" s="185"/>
      <c r="AI74" s="185"/>
      <c r="AJ74" s="185">
        <v>3370375</v>
      </c>
      <c r="AK74" s="185">
        <v>245387</v>
      </c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45" t="s">
        <v>221</v>
      </c>
      <c r="AX74" s="245" t="s">
        <v>221</v>
      </c>
      <c r="AY74" s="245" t="s">
        <v>221</v>
      </c>
      <c r="AZ74" s="245" t="s">
        <v>221</v>
      </c>
      <c r="BA74" s="245" t="s">
        <v>221</v>
      </c>
      <c r="BB74" s="245" t="s">
        <v>221</v>
      </c>
      <c r="BC74" s="245" t="s">
        <v>221</v>
      </c>
      <c r="BD74" s="245" t="s">
        <v>221</v>
      </c>
      <c r="BE74" s="245" t="s">
        <v>221</v>
      </c>
      <c r="BF74" s="245" t="s">
        <v>221</v>
      </c>
      <c r="BG74" s="245" t="s">
        <v>221</v>
      </c>
      <c r="BH74" s="245" t="s">
        <v>221</v>
      </c>
      <c r="BI74" s="245" t="s">
        <v>221</v>
      </c>
      <c r="BJ74" s="245" t="s">
        <v>221</v>
      </c>
      <c r="BK74" s="245" t="s">
        <v>221</v>
      </c>
      <c r="BL74" s="245" t="s">
        <v>221</v>
      </c>
      <c r="BM74" s="245" t="s">
        <v>221</v>
      </c>
      <c r="BN74" s="245" t="s">
        <v>221</v>
      </c>
      <c r="BO74" s="245" t="s">
        <v>221</v>
      </c>
      <c r="BP74" s="245" t="s">
        <v>221</v>
      </c>
      <c r="BQ74" s="245" t="s">
        <v>221</v>
      </c>
      <c r="BR74" s="245" t="s">
        <v>221</v>
      </c>
      <c r="BS74" s="245" t="s">
        <v>221</v>
      </c>
      <c r="BT74" s="245" t="s">
        <v>221</v>
      </c>
      <c r="BU74" s="245" t="s">
        <v>221</v>
      </c>
      <c r="BV74" s="245" t="s">
        <v>221</v>
      </c>
      <c r="BW74" s="245" t="s">
        <v>221</v>
      </c>
      <c r="BX74" s="245" t="s">
        <v>221</v>
      </c>
      <c r="BY74" s="245" t="s">
        <v>221</v>
      </c>
      <c r="BZ74" s="245" t="s">
        <v>221</v>
      </c>
      <c r="CA74" s="245" t="s">
        <v>221</v>
      </c>
      <c r="CB74" s="245" t="s">
        <v>221</v>
      </c>
      <c r="CC74" s="245" t="s">
        <v>221</v>
      </c>
      <c r="CD74" s="245" t="s">
        <v>221</v>
      </c>
      <c r="CE74" s="195">
        <f t="shared" si="8"/>
        <v>21657868</v>
      </c>
      <c r="CF74" s="248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1603974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10436503</v>
      </c>
      <c r="Q75" s="195">
        <f t="shared" si="9"/>
        <v>1070937</v>
      </c>
      <c r="R75" s="195">
        <f t="shared" si="9"/>
        <v>3814796</v>
      </c>
      <c r="S75" s="195">
        <f t="shared" si="9"/>
        <v>4074993</v>
      </c>
      <c r="T75" s="195">
        <f t="shared" si="9"/>
        <v>0</v>
      </c>
      <c r="U75" s="195">
        <f t="shared" si="9"/>
        <v>185550</v>
      </c>
      <c r="V75" s="195">
        <f t="shared" si="9"/>
        <v>0</v>
      </c>
      <c r="W75" s="195">
        <f t="shared" si="9"/>
        <v>0</v>
      </c>
      <c r="X75" s="195">
        <f t="shared" si="9"/>
        <v>0</v>
      </c>
      <c r="Y75" s="195">
        <f t="shared" si="9"/>
        <v>3253952</v>
      </c>
      <c r="Z75" s="195">
        <f t="shared" si="9"/>
        <v>0</v>
      </c>
      <c r="AA75" s="195">
        <f t="shared" si="9"/>
        <v>0</v>
      </c>
      <c r="AB75" s="195">
        <f t="shared" si="9"/>
        <v>2136035</v>
      </c>
      <c r="AC75" s="195">
        <f t="shared" si="9"/>
        <v>422312</v>
      </c>
      <c r="AD75" s="195">
        <f t="shared" si="9"/>
        <v>0</v>
      </c>
      <c r="AE75" s="195">
        <f t="shared" si="9"/>
        <v>1039468</v>
      </c>
      <c r="AF75" s="195">
        <f t="shared" si="9"/>
        <v>0</v>
      </c>
      <c r="AG75" s="195">
        <f t="shared" si="9"/>
        <v>0</v>
      </c>
      <c r="AH75" s="195">
        <f t="shared" si="9"/>
        <v>0</v>
      </c>
      <c r="AI75" s="195">
        <f t="shared" si="9"/>
        <v>0</v>
      </c>
      <c r="AJ75" s="195">
        <f t="shared" si="9"/>
        <v>3380487</v>
      </c>
      <c r="AK75" s="195">
        <f t="shared" si="9"/>
        <v>246210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5" t="s">
        <v>221</v>
      </c>
      <c r="AX75" s="245" t="s">
        <v>221</v>
      </c>
      <c r="AY75" s="245" t="s">
        <v>221</v>
      </c>
      <c r="AZ75" s="245" t="s">
        <v>221</v>
      </c>
      <c r="BA75" s="245" t="s">
        <v>221</v>
      </c>
      <c r="BB75" s="245" t="s">
        <v>221</v>
      </c>
      <c r="BC75" s="245" t="s">
        <v>221</v>
      </c>
      <c r="BD75" s="245" t="s">
        <v>221</v>
      </c>
      <c r="BE75" s="245" t="s">
        <v>221</v>
      </c>
      <c r="BF75" s="245" t="s">
        <v>221</v>
      </c>
      <c r="BG75" s="245" t="s">
        <v>221</v>
      </c>
      <c r="BH75" s="245" t="s">
        <v>221</v>
      </c>
      <c r="BI75" s="245" t="s">
        <v>221</v>
      </c>
      <c r="BJ75" s="245" t="s">
        <v>221</v>
      </c>
      <c r="BK75" s="245" t="s">
        <v>221</v>
      </c>
      <c r="BL75" s="245" t="s">
        <v>221</v>
      </c>
      <c r="BM75" s="245" t="s">
        <v>221</v>
      </c>
      <c r="BN75" s="245" t="s">
        <v>221</v>
      </c>
      <c r="BO75" s="245" t="s">
        <v>221</v>
      </c>
      <c r="BP75" s="245" t="s">
        <v>221</v>
      </c>
      <c r="BQ75" s="245" t="s">
        <v>221</v>
      </c>
      <c r="BR75" s="245" t="s">
        <v>221</v>
      </c>
      <c r="BS75" s="245" t="s">
        <v>221</v>
      </c>
      <c r="BT75" s="245" t="s">
        <v>221</v>
      </c>
      <c r="BU75" s="245" t="s">
        <v>221</v>
      </c>
      <c r="BV75" s="245" t="s">
        <v>221</v>
      </c>
      <c r="BW75" s="245" t="s">
        <v>221</v>
      </c>
      <c r="BX75" s="245" t="s">
        <v>221</v>
      </c>
      <c r="BY75" s="245" t="s">
        <v>221</v>
      </c>
      <c r="BZ75" s="245" t="s">
        <v>221</v>
      </c>
      <c r="CA75" s="245" t="s">
        <v>221</v>
      </c>
      <c r="CB75" s="245" t="s">
        <v>221</v>
      </c>
      <c r="CC75" s="245" t="s">
        <v>221</v>
      </c>
      <c r="CD75" s="245" t="s">
        <v>221</v>
      </c>
      <c r="CE75" s="195">
        <f t="shared" si="8"/>
        <v>31665217</v>
      </c>
      <c r="CF75" s="248"/>
    </row>
    <row r="76" spans="1:84" ht="12.6" customHeight="1" x14ac:dyDescent="0.25">
      <c r="A76" s="171" t="s">
        <v>248</v>
      </c>
      <c r="B76" s="175"/>
      <c r="C76" s="184"/>
      <c r="D76" s="184"/>
      <c r="E76" s="185">
        <v>16219</v>
      </c>
      <c r="F76" s="185"/>
      <c r="G76" s="184"/>
      <c r="H76" s="184"/>
      <c r="I76" s="185"/>
      <c r="J76" s="185"/>
      <c r="K76" s="185"/>
      <c r="L76" s="185"/>
      <c r="M76" s="185"/>
      <c r="N76" s="185"/>
      <c r="O76" s="185"/>
      <c r="P76" s="185">
        <v>4088</v>
      </c>
      <c r="Q76" s="185">
        <v>1410</v>
      </c>
      <c r="R76" s="185">
        <v>539</v>
      </c>
      <c r="S76" s="185"/>
      <c r="T76" s="185"/>
      <c r="U76" s="185">
        <v>461</v>
      </c>
      <c r="V76" s="185"/>
      <c r="W76" s="185"/>
      <c r="X76" s="185"/>
      <c r="Y76" s="185">
        <v>3221</v>
      </c>
      <c r="Z76" s="185"/>
      <c r="AA76" s="185"/>
      <c r="AB76" s="185">
        <v>300</v>
      </c>
      <c r="AC76" s="185">
        <v>103</v>
      </c>
      <c r="AD76" s="185"/>
      <c r="AE76" s="185">
        <v>5221</v>
      </c>
      <c r="AF76" s="185"/>
      <c r="AG76" s="185"/>
      <c r="AH76" s="185"/>
      <c r="AI76" s="185"/>
      <c r="AJ76" s="185">
        <v>8789</v>
      </c>
      <c r="AK76" s="185">
        <v>8182</v>
      </c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4405</v>
      </c>
      <c r="AZ76" s="185">
        <v>1439</v>
      </c>
      <c r="BA76" s="185">
        <v>1614</v>
      </c>
      <c r="BB76" s="185">
        <v>1907</v>
      </c>
      <c r="BC76" s="185"/>
      <c r="BD76" s="185">
        <v>245</v>
      </c>
      <c r="BE76" s="185">
        <v>8392</v>
      </c>
      <c r="BF76" s="185">
        <v>722</v>
      </c>
      <c r="BG76" s="185"/>
      <c r="BH76" s="185"/>
      <c r="BI76" s="185"/>
      <c r="BJ76" s="185"/>
      <c r="BK76" s="185"/>
      <c r="BL76" s="185"/>
      <c r="BM76" s="185"/>
      <c r="BN76" s="185">
        <f>13362</f>
        <v>13362</v>
      </c>
      <c r="BO76" s="185"/>
      <c r="BP76" s="185"/>
      <c r="BQ76" s="185"/>
      <c r="BR76" s="185">
        <v>414</v>
      </c>
      <c r="BS76" s="185"/>
      <c r="BT76" s="185"/>
      <c r="BU76" s="185"/>
      <c r="BV76" s="185">
        <v>1061</v>
      </c>
      <c r="BW76" s="185"/>
      <c r="BX76" s="185"/>
      <c r="BY76" s="185">
        <v>1319</v>
      </c>
      <c r="BZ76" s="185"/>
      <c r="CA76" s="185"/>
      <c r="CB76" s="185"/>
      <c r="CC76" s="185">
        <v>5328</v>
      </c>
      <c r="CD76" s="245" t="s">
        <v>221</v>
      </c>
      <c r="CE76" s="195">
        <f t="shared" si="8"/>
        <v>88741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>
        <v>4740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5" t="s">
        <v>221</v>
      </c>
      <c r="AY77" s="245" t="s">
        <v>221</v>
      </c>
      <c r="AZ77" s="184"/>
      <c r="BA77" s="184"/>
      <c r="BB77" s="184"/>
      <c r="BC77" s="184"/>
      <c r="BD77" s="245" t="s">
        <v>221</v>
      </c>
      <c r="BE77" s="245" t="s">
        <v>221</v>
      </c>
      <c r="BF77" s="184"/>
      <c r="BG77" s="245" t="s">
        <v>221</v>
      </c>
      <c r="BH77" s="184"/>
      <c r="BI77" s="184"/>
      <c r="BJ77" s="245" t="s">
        <v>221</v>
      </c>
      <c r="BK77" s="184"/>
      <c r="BL77" s="184"/>
      <c r="BM77" s="184"/>
      <c r="BN77" s="245" t="s">
        <v>221</v>
      </c>
      <c r="BO77" s="245" t="s">
        <v>221</v>
      </c>
      <c r="BP77" s="245" t="s">
        <v>221</v>
      </c>
      <c r="BQ77" s="245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5" t="s">
        <v>221</v>
      </c>
      <c r="CD77" s="245" t="s">
        <v>221</v>
      </c>
      <c r="CE77" s="195">
        <f>SUM(C77:CD77)</f>
        <v>4740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/>
      <c r="D78" s="184"/>
      <c r="E78" s="184">
        <v>16219</v>
      </c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>
        <v>4088</v>
      </c>
      <c r="Q78" s="184">
        <v>1410</v>
      </c>
      <c r="R78" s="184">
        <v>539</v>
      </c>
      <c r="S78" s="184"/>
      <c r="T78" s="184"/>
      <c r="U78" s="184">
        <v>461</v>
      </c>
      <c r="V78" s="184"/>
      <c r="W78" s="184"/>
      <c r="X78" s="184"/>
      <c r="Y78" s="184">
        <v>3221</v>
      </c>
      <c r="Z78" s="184"/>
      <c r="AA78" s="184"/>
      <c r="AB78" s="184">
        <v>300</v>
      </c>
      <c r="AC78" s="184">
        <v>103</v>
      </c>
      <c r="AD78" s="184"/>
      <c r="AE78" s="184">
        <v>5221</v>
      </c>
      <c r="AF78" s="184"/>
      <c r="AG78" s="184"/>
      <c r="AH78" s="184"/>
      <c r="AI78" s="184"/>
      <c r="AJ78" s="184">
        <v>8789</v>
      </c>
      <c r="AK78" s="184">
        <v>8182</v>
      </c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5" t="s">
        <v>221</v>
      </c>
      <c r="AY78" s="245" t="s">
        <v>221</v>
      </c>
      <c r="AZ78" s="245" t="s">
        <v>221</v>
      </c>
      <c r="BA78" s="184">
        <v>1614</v>
      </c>
      <c r="BB78" s="184">
        <v>1907</v>
      </c>
      <c r="BC78" s="184"/>
      <c r="BD78" s="245" t="s">
        <v>221</v>
      </c>
      <c r="BE78" s="245" t="s">
        <v>221</v>
      </c>
      <c r="BF78" s="245" t="s">
        <v>221</v>
      </c>
      <c r="BG78" s="245" t="s">
        <v>221</v>
      </c>
      <c r="BH78" s="184"/>
      <c r="BI78" s="184"/>
      <c r="BJ78" s="245" t="s">
        <v>221</v>
      </c>
      <c r="BK78" s="184"/>
      <c r="BL78" s="184"/>
      <c r="BM78" s="184"/>
      <c r="BN78" s="245" t="s">
        <v>221</v>
      </c>
      <c r="BO78" s="245" t="s">
        <v>221</v>
      </c>
      <c r="BP78" s="245" t="s">
        <v>221</v>
      </c>
      <c r="BQ78" s="245" t="s">
        <v>221</v>
      </c>
      <c r="BR78" s="245" t="s">
        <v>221</v>
      </c>
      <c r="BS78" s="184"/>
      <c r="BT78" s="184"/>
      <c r="BU78" s="184"/>
      <c r="BV78" s="184">
        <v>1061</v>
      </c>
      <c r="BW78" s="184"/>
      <c r="BX78" s="184"/>
      <c r="BY78" s="184">
        <v>1319</v>
      </c>
      <c r="BZ78" s="184"/>
      <c r="CA78" s="184"/>
      <c r="CB78" s="184"/>
      <c r="CC78" s="245" t="s">
        <v>221</v>
      </c>
      <c r="CD78" s="245" t="s">
        <v>221</v>
      </c>
      <c r="CE78" s="195">
        <f t="shared" si="8"/>
        <v>54434</v>
      </c>
      <c r="CF78" s="195"/>
    </row>
    <row r="79" spans="1:84" ht="12.6" customHeight="1" x14ac:dyDescent="0.25">
      <c r="A79" s="171" t="s">
        <v>251</v>
      </c>
      <c r="B79" s="175"/>
      <c r="C79" s="221"/>
      <c r="D79" s="221"/>
      <c r="E79" s="184">
        <v>23960</v>
      </c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>
        <v>17703</v>
      </c>
      <c r="Q79" s="184"/>
      <c r="R79" s="184"/>
      <c r="S79" s="184"/>
      <c r="T79" s="184"/>
      <c r="U79" s="184"/>
      <c r="V79" s="184"/>
      <c r="W79" s="184"/>
      <c r="X79" s="184"/>
      <c r="Y79" s="184">
        <v>2561</v>
      </c>
      <c r="Z79" s="184"/>
      <c r="AA79" s="184"/>
      <c r="AB79" s="184"/>
      <c r="AC79" s="184"/>
      <c r="AD79" s="184"/>
      <c r="AE79" s="184">
        <v>756</v>
      </c>
      <c r="AF79" s="184"/>
      <c r="AG79" s="184"/>
      <c r="AH79" s="184"/>
      <c r="AI79" s="184"/>
      <c r="AJ79" s="184">
        <v>7129</v>
      </c>
      <c r="AK79" s="184">
        <v>1363</v>
      </c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5" t="s">
        <v>221</v>
      </c>
      <c r="AY79" s="245" t="s">
        <v>221</v>
      </c>
      <c r="AZ79" s="245" t="s">
        <v>221</v>
      </c>
      <c r="BA79" s="245" t="s">
        <v>221</v>
      </c>
      <c r="BB79" s="184"/>
      <c r="BC79" s="184"/>
      <c r="BD79" s="245" t="s">
        <v>221</v>
      </c>
      <c r="BE79" s="245" t="s">
        <v>221</v>
      </c>
      <c r="BF79" s="245" t="s">
        <v>221</v>
      </c>
      <c r="BG79" s="245" t="s">
        <v>221</v>
      </c>
      <c r="BH79" s="184"/>
      <c r="BI79" s="184"/>
      <c r="BJ79" s="245" t="s">
        <v>221</v>
      </c>
      <c r="BK79" s="184"/>
      <c r="BL79" s="184"/>
      <c r="BM79" s="184"/>
      <c r="BN79" s="245" t="s">
        <v>221</v>
      </c>
      <c r="BO79" s="245" t="s">
        <v>221</v>
      </c>
      <c r="BP79" s="245" t="s">
        <v>221</v>
      </c>
      <c r="BQ79" s="245" t="s">
        <v>221</v>
      </c>
      <c r="BR79" s="245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5" t="s">
        <v>221</v>
      </c>
      <c r="CD79" s="245" t="s">
        <v>221</v>
      </c>
      <c r="CE79" s="195">
        <f t="shared" si="8"/>
        <v>53472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>
        <v>16.16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>
        <v>8.17</v>
      </c>
      <c r="Q80" s="187">
        <v>1.95</v>
      </c>
      <c r="R80" s="187">
        <v>4.33</v>
      </c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>
        <v>9</v>
      </c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5" t="s">
        <v>221</v>
      </c>
      <c r="AX80" s="245" t="s">
        <v>221</v>
      </c>
      <c r="AY80" s="245" t="s">
        <v>221</v>
      </c>
      <c r="AZ80" s="245" t="s">
        <v>221</v>
      </c>
      <c r="BA80" s="245" t="s">
        <v>221</v>
      </c>
      <c r="BB80" s="245" t="s">
        <v>221</v>
      </c>
      <c r="BC80" s="245" t="s">
        <v>221</v>
      </c>
      <c r="BD80" s="245" t="s">
        <v>221</v>
      </c>
      <c r="BE80" s="245" t="s">
        <v>221</v>
      </c>
      <c r="BF80" s="245" t="s">
        <v>221</v>
      </c>
      <c r="BG80" s="245" t="s">
        <v>221</v>
      </c>
      <c r="BH80" s="245" t="s">
        <v>221</v>
      </c>
      <c r="BI80" s="245" t="s">
        <v>221</v>
      </c>
      <c r="BJ80" s="245" t="s">
        <v>221</v>
      </c>
      <c r="BK80" s="245" t="s">
        <v>221</v>
      </c>
      <c r="BL80" s="245" t="s">
        <v>221</v>
      </c>
      <c r="BM80" s="245" t="s">
        <v>221</v>
      </c>
      <c r="BN80" s="245" t="s">
        <v>221</v>
      </c>
      <c r="BO80" s="245" t="s">
        <v>221</v>
      </c>
      <c r="BP80" s="245" t="s">
        <v>221</v>
      </c>
      <c r="BQ80" s="245" t="s">
        <v>221</v>
      </c>
      <c r="BR80" s="245" t="s">
        <v>221</v>
      </c>
      <c r="BS80" s="245" t="s">
        <v>221</v>
      </c>
      <c r="BT80" s="245" t="s">
        <v>221</v>
      </c>
      <c r="BU80" s="250"/>
      <c r="BV80" s="250"/>
      <c r="BW80" s="250"/>
      <c r="BX80" s="250"/>
      <c r="BY80" s="250"/>
      <c r="BZ80" s="250"/>
      <c r="CA80" s="250"/>
      <c r="CB80" s="250"/>
      <c r="CC80" s="245" t="s">
        <v>221</v>
      </c>
      <c r="CD80" s="245" t="s">
        <v>221</v>
      </c>
      <c r="CE80" s="251">
        <f t="shared" si="8"/>
        <v>39.61</v>
      </c>
      <c r="CF80" s="251"/>
    </row>
    <row r="81" spans="1:5" ht="12.6" customHeight="1" x14ac:dyDescent="0.25">
      <c r="A81" s="205" t="s">
        <v>253</v>
      </c>
      <c r="B81" s="205"/>
      <c r="C81" s="205"/>
      <c r="D81" s="205"/>
      <c r="E81" s="205"/>
    </row>
    <row r="82" spans="1:5" ht="12.6" customHeight="1" x14ac:dyDescent="0.25">
      <c r="A82" s="171" t="s">
        <v>254</v>
      </c>
      <c r="B82" s="172"/>
      <c r="C82" s="271" t="s">
        <v>1000</v>
      </c>
      <c r="D82" s="252"/>
      <c r="E82" s="175"/>
    </row>
    <row r="83" spans="1:5" ht="12.6" customHeight="1" x14ac:dyDescent="0.25">
      <c r="A83" s="173" t="s">
        <v>255</v>
      </c>
      <c r="B83" s="172" t="s">
        <v>256</v>
      </c>
      <c r="C83" s="223" t="s">
        <v>1003</v>
      </c>
      <c r="D83" s="252"/>
      <c r="E83" s="175"/>
    </row>
    <row r="84" spans="1:5" ht="12.6" customHeight="1" x14ac:dyDescent="0.25">
      <c r="A84" s="173" t="s">
        <v>257</v>
      </c>
      <c r="B84" s="172" t="s">
        <v>256</v>
      </c>
      <c r="C84" s="226" t="s">
        <v>1004</v>
      </c>
      <c r="D84" s="202"/>
      <c r="E84" s="201"/>
    </row>
    <row r="85" spans="1:5" ht="12.6" customHeight="1" x14ac:dyDescent="0.25">
      <c r="A85" s="173" t="s">
        <v>987</v>
      </c>
      <c r="B85" s="172"/>
      <c r="C85" s="266" t="s">
        <v>1005</v>
      </c>
      <c r="D85" s="202"/>
      <c r="E85" s="201"/>
    </row>
    <row r="86" spans="1:5" ht="12.6" customHeight="1" x14ac:dyDescent="0.25">
      <c r="A86" s="173" t="s">
        <v>988</v>
      </c>
      <c r="B86" s="172" t="s">
        <v>256</v>
      </c>
      <c r="C86" s="227" t="s">
        <v>1006</v>
      </c>
      <c r="D86" s="202"/>
      <c r="E86" s="201"/>
    </row>
    <row r="87" spans="1:5" ht="12.6" customHeight="1" x14ac:dyDescent="0.25">
      <c r="A87" s="173" t="s">
        <v>258</v>
      </c>
      <c r="B87" s="172" t="s">
        <v>256</v>
      </c>
      <c r="C87" s="226" t="s">
        <v>1007</v>
      </c>
      <c r="D87" s="202"/>
      <c r="E87" s="201"/>
    </row>
    <row r="88" spans="1:5" ht="12.6" customHeight="1" x14ac:dyDescent="0.25">
      <c r="A88" s="173" t="s">
        <v>259</v>
      </c>
      <c r="B88" s="172" t="s">
        <v>256</v>
      </c>
      <c r="C88" s="226" t="s">
        <v>1008</v>
      </c>
      <c r="D88" s="202"/>
      <c r="E88" s="201"/>
    </row>
    <row r="89" spans="1:5" ht="12.6" customHeight="1" x14ac:dyDescent="0.25">
      <c r="A89" s="173" t="s">
        <v>260</v>
      </c>
      <c r="B89" s="172" t="s">
        <v>256</v>
      </c>
      <c r="C89" s="226" t="s">
        <v>1009</v>
      </c>
      <c r="D89" s="202"/>
      <c r="E89" s="201"/>
    </row>
    <row r="90" spans="1:5" ht="12.6" customHeight="1" x14ac:dyDescent="0.25">
      <c r="A90" s="173" t="s">
        <v>261</v>
      </c>
      <c r="B90" s="172" t="s">
        <v>256</v>
      </c>
      <c r="C90" s="226" t="s">
        <v>1010</v>
      </c>
      <c r="D90" s="202"/>
      <c r="E90" s="201"/>
    </row>
    <row r="91" spans="1:5" ht="12.6" customHeight="1" x14ac:dyDescent="0.25">
      <c r="A91" s="173" t="s">
        <v>262</v>
      </c>
      <c r="B91" s="172" t="s">
        <v>256</v>
      </c>
      <c r="C91" s="226" t="s">
        <v>1011</v>
      </c>
      <c r="D91" s="202"/>
      <c r="E91" s="201"/>
    </row>
    <row r="92" spans="1:5" ht="12.6" customHeight="1" x14ac:dyDescent="0.25">
      <c r="A92" s="173" t="s">
        <v>263</v>
      </c>
      <c r="B92" s="172" t="s">
        <v>256</v>
      </c>
      <c r="C92" s="222" t="s">
        <v>1012</v>
      </c>
      <c r="D92" s="252"/>
      <c r="E92" s="175"/>
    </row>
    <row r="93" spans="1:5" ht="12.6" customHeight="1" x14ac:dyDescent="0.25">
      <c r="A93" s="173" t="s">
        <v>264</v>
      </c>
      <c r="B93" s="172" t="s">
        <v>256</v>
      </c>
      <c r="C93" s="275" t="s">
        <v>1013</v>
      </c>
      <c r="D93" s="252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5" t="s">
        <v>265</v>
      </c>
      <c r="B95" s="205"/>
      <c r="C95" s="205"/>
      <c r="D95" s="205"/>
      <c r="E95" s="205"/>
    </row>
    <row r="96" spans="1:5" ht="12.6" customHeight="1" x14ac:dyDescent="0.25">
      <c r="A96" s="253" t="s">
        <v>266</v>
      </c>
      <c r="B96" s="253"/>
      <c r="C96" s="253"/>
      <c r="D96" s="253"/>
      <c r="E96" s="253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3" t="s">
        <v>269</v>
      </c>
      <c r="B100" s="253"/>
      <c r="C100" s="253"/>
      <c r="D100" s="253"/>
      <c r="E100" s="253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18" t="s">
        <v>1014</v>
      </c>
      <c r="D102" s="175"/>
      <c r="E102" s="175"/>
    </row>
    <row r="103" spans="1:5" ht="12.6" customHeight="1" x14ac:dyDescent="0.25">
      <c r="A103" s="253" t="s">
        <v>271</v>
      </c>
      <c r="B103" s="253"/>
      <c r="C103" s="253"/>
      <c r="D103" s="253"/>
      <c r="E103" s="253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4" t="s">
        <v>275</v>
      </c>
      <c r="B108" s="205"/>
      <c r="C108" s="205"/>
      <c r="D108" s="205"/>
      <c r="E108" s="205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164</v>
      </c>
      <c r="D111" s="174">
        <v>694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0</v>
      </c>
      <c r="D112" s="174">
        <v>0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>
        <v>0</v>
      </c>
      <c r="D113" s="174">
        <v>0</v>
      </c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0</v>
      </c>
      <c r="D114" s="174">
        <v>0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0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0</v>
      </c>
      <c r="D117" s="175"/>
      <c r="E117" s="175"/>
    </row>
    <row r="118" spans="1:5" ht="12.6" customHeight="1" x14ac:dyDescent="0.25">
      <c r="A118" s="173" t="s">
        <v>975</v>
      </c>
      <c r="B118" s="172" t="s">
        <v>256</v>
      </c>
      <c r="C118" s="189">
        <v>0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>
        <v>30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0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>
        <v>0</v>
      </c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0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>
        <v>0</v>
      </c>
      <c r="D123" s="175"/>
      <c r="E123" s="175"/>
    </row>
    <row r="124" spans="1:5" ht="12.6" customHeight="1" x14ac:dyDescent="0.25">
      <c r="A124" s="173" t="s">
        <v>289</v>
      </c>
      <c r="B124" s="172"/>
      <c r="C124" s="189">
        <v>0</v>
      </c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>
        <v>0</v>
      </c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>
        <v>0</v>
      </c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30</v>
      </c>
    </row>
    <row r="128" spans="1:5" ht="12.6" customHeight="1" x14ac:dyDescent="0.25">
      <c r="A128" s="173" t="s">
        <v>292</v>
      </c>
      <c r="B128" s="172" t="s">
        <v>256</v>
      </c>
      <c r="C128" s="189">
        <v>30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0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>
        <v>0</v>
      </c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5" t="s">
        <v>976</v>
      </c>
      <c r="B136" s="204"/>
      <c r="C136" s="204"/>
      <c r="D136" s="204"/>
      <c r="E136" s="204"/>
    </row>
    <row r="137" spans="1:6" ht="12.6" customHeight="1" x14ac:dyDescent="0.25">
      <c r="A137" s="254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0</v>
      </c>
      <c r="C138" s="189">
        <f>24+57</f>
        <v>81</v>
      </c>
      <c r="D138" s="174">
        <f>164-81</f>
        <v>83</v>
      </c>
      <c r="E138" s="175">
        <f>SUM(B138:D138)</f>
        <v>164</v>
      </c>
    </row>
    <row r="139" spans="1:6" ht="12.6" customHeight="1" x14ac:dyDescent="0.25">
      <c r="A139" s="173" t="s">
        <v>215</v>
      </c>
      <c r="B139" s="174">
        <v>0</v>
      </c>
      <c r="C139" s="189">
        <f>75+249</f>
        <v>324</v>
      </c>
      <c r="D139" s="174">
        <f>694-324</f>
        <v>370</v>
      </c>
      <c r="E139" s="175">
        <f>SUM(B139:D139)</f>
        <v>694</v>
      </c>
    </row>
    <row r="140" spans="1:6" ht="12.6" customHeight="1" x14ac:dyDescent="0.25">
      <c r="A140" s="173" t="s">
        <v>298</v>
      </c>
      <c r="B140" s="174">
        <v>0</v>
      </c>
      <c r="C140" s="174">
        <f>1431+5294+107+324+77+550</f>
        <v>7783</v>
      </c>
      <c r="D140" s="174">
        <f>13145+825+1228-7783</f>
        <v>7415</v>
      </c>
      <c r="E140" s="175">
        <f>SUM(B140:D140)</f>
        <v>15198</v>
      </c>
    </row>
    <row r="141" spans="1:6" ht="12.6" customHeight="1" x14ac:dyDescent="0.25">
      <c r="A141" s="173" t="s">
        <v>245</v>
      </c>
      <c r="B141" s="174">
        <v>0</v>
      </c>
      <c r="C141" s="189">
        <f>1192474+3581228+162768+484567</f>
        <v>5421037</v>
      </c>
      <c r="D141" s="174">
        <f>188264+12707+271898+20002+172904+17164+1447699+108308+2078988+253154+1222402+123098</f>
        <v>5916588</v>
      </c>
      <c r="E141" s="175">
        <f>SUM(B141:D141)</f>
        <v>11337625</v>
      </c>
      <c r="F141" s="199"/>
    </row>
    <row r="142" spans="1:6" ht="12.6" customHeight="1" x14ac:dyDescent="0.25">
      <c r="A142" s="173" t="s">
        <v>246</v>
      </c>
      <c r="B142" s="174">
        <v>0</v>
      </c>
      <c r="C142" s="189">
        <f>791005+2706199+3687380+12153896-5421037</f>
        <v>13917443</v>
      </c>
      <c r="D142" s="174">
        <v>13209413</v>
      </c>
      <c r="E142" s="175">
        <f>SUM(B142:D142)</f>
        <v>27126856</v>
      </c>
      <c r="F142" s="199"/>
    </row>
    <row r="143" spans="1:6" ht="12.6" customHeight="1" x14ac:dyDescent="0.25">
      <c r="A143" s="254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0</v>
      </c>
      <c r="C144" s="189">
        <v>0</v>
      </c>
      <c r="D144" s="174">
        <v>0</v>
      </c>
      <c r="E144" s="175">
        <f>SUM(B144:D144)</f>
        <v>0</v>
      </c>
    </row>
    <row r="145" spans="1:5" ht="12.6" customHeight="1" x14ac:dyDescent="0.25">
      <c r="A145" s="173" t="s">
        <v>215</v>
      </c>
      <c r="B145" s="174">
        <v>0</v>
      </c>
      <c r="C145" s="189">
        <v>0</v>
      </c>
      <c r="D145" s="174">
        <v>0</v>
      </c>
      <c r="E145" s="175">
        <f>SUM(B145:D145)</f>
        <v>0</v>
      </c>
    </row>
    <row r="146" spans="1:5" ht="12.6" customHeight="1" x14ac:dyDescent="0.25">
      <c r="A146" s="173" t="s">
        <v>298</v>
      </c>
      <c r="B146" s="174">
        <v>0</v>
      </c>
      <c r="C146" s="189">
        <v>0</v>
      </c>
      <c r="D146" s="174">
        <v>0</v>
      </c>
      <c r="E146" s="175">
        <f>SUM(B146:D146)</f>
        <v>0</v>
      </c>
    </row>
    <row r="147" spans="1:5" ht="12.6" customHeight="1" x14ac:dyDescent="0.25">
      <c r="A147" s="173" t="s">
        <v>245</v>
      </c>
      <c r="B147" s="174">
        <v>0</v>
      </c>
      <c r="C147" s="189">
        <v>0</v>
      </c>
      <c r="D147" s="174">
        <v>0</v>
      </c>
      <c r="E147" s="175">
        <f>SUM(B147:D147)</f>
        <v>0</v>
      </c>
    </row>
    <row r="148" spans="1:5" ht="12.6" customHeight="1" x14ac:dyDescent="0.25">
      <c r="A148" s="173" t="s">
        <v>246</v>
      </c>
      <c r="B148" s="174">
        <v>0</v>
      </c>
      <c r="C148" s="189">
        <v>0</v>
      </c>
      <c r="D148" s="174">
        <v>0</v>
      </c>
      <c r="E148" s="175">
        <f>SUM(B148:D148)</f>
        <v>0</v>
      </c>
    </row>
    <row r="149" spans="1:5" ht="12.6" customHeight="1" x14ac:dyDescent="0.25">
      <c r="A149" s="254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>
        <v>0</v>
      </c>
      <c r="C150" s="189">
        <v>0</v>
      </c>
      <c r="D150" s="174">
        <v>0</v>
      </c>
      <c r="E150" s="175">
        <f>SUM(B150:D150)</f>
        <v>0</v>
      </c>
    </row>
    <row r="151" spans="1:5" ht="12.6" customHeight="1" x14ac:dyDescent="0.25">
      <c r="A151" s="173" t="s">
        <v>215</v>
      </c>
      <c r="B151" s="174">
        <v>0</v>
      </c>
      <c r="C151" s="189">
        <v>0</v>
      </c>
      <c r="D151" s="174">
        <v>0</v>
      </c>
      <c r="E151" s="175">
        <f>SUM(B151:D151)</f>
        <v>0</v>
      </c>
    </row>
    <row r="152" spans="1:5" ht="12.6" customHeight="1" x14ac:dyDescent="0.25">
      <c r="A152" s="173" t="s">
        <v>298</v>
      </c>
      <c r="B152" s="174">
        <v>0</v>
      </c>
      <c r="C152" s="189">
        <v>0</v>
      </c>
      <c r="D152" s="174">
        <v>0</v>
      </c>
      <c r="E152" s="175">
        <f>SUM(B152:D152)</f>
        <v>0</v>
      </c>
    </row>
    <row r="153" spans="1:5" ht="12.6" customHeight="1" x14ac:dyDescent="0.25">
      <c r="A153" s="173" t="s">
        <v>245</v>
      </c>
      <c r="B153" s="174">
        <v>0</v>
      </c>
      <c r="C153" s="189">
        <v>0</v>
      </c>
      <c r="D153" s="174">
        <v>0</v>
      </c>
      <c r="E153" s="175">
        <f>SUM(B153:D153)</f>
        <v>0</v>
      </c>
    </row>
    <row r="154" spans="1:5" ht="12.6" customHeight="1" x14ac:dyDescent="0.25">
      <c r="A154" s="173" t="s">
        <v>246</v>
      </c>
      <c r="B154" s="174">
        <v>0</v>
      </c>
      <c r="C154" s="189">
        <v>0</v>
      </c>
      <c r="D154" s="174">
        <v>0</v>
      </c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4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f>1436050+85474+1184101+791005+2706199-1963+2909+194189+342236+55136</f>
        <v>6795336</v>
      </c>
      <c r="C157" s="174">
        <v>5580975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4" t="s">
        <v>305</v>
      </c>
      <c r="B163" s="205"/>
      <c r="C163" s="205"/>
      <c r="D163" s="205"/>
      <c r="E163" s="205"/>
    </row>
    <row r="164" spans="1:5" ht="11.4" customHeight="1" x14ac:dyDescent="0.25">
      <c r="A164" s="253" t="s">
        <v>306</v>
      </c>
      <c r="B164" s="253"/>
      <c r="C164" s="253"/>
      <c r="D164" s="253"/>
      <c r="E164" s="253"/>
    </row>
    <row r="165" spans="1:5" ht="11.4" customHeight="1" x14ac:dyDescent="0.25">
      <c r="A165" s="173" t="s">
        <v>307</v>
      </c>
      <c r="B165" s="172" t="s">
        <v>256</v>
      </c>
      <c r="C165" s="189">
        <v>867702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97094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172525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f>9415+2138641-138523</f>
        <v>2009533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10000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f>421000+446462</f>
        <v>867462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f>22007+796+31343</f>
        <v>54146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4078462</v>
      </c>
      <c r="E173" s="175"/>
    </row>
    <row r="174" spans="1:5" ht="11.4" customHeight="1" x14ac:dyDescent="0.25">
      <c r="A174" s="253" t="s">
        <v>314</v>
      </c>
      <c r="B174" s="253"/>
      <c r="C174" s="253"/>
      <c r="D174" s="253"/>
      <c r="E174" s="253"/>
    </row>
    <row r="175" spans="1:5" ht="11.4" customHeight="1" x14ac:dyDescent="0.25">
      <c r="A175" s="173" t="s">
        <v>315</v>
      </c>
      <c r="B175" s="172" t="s">
        <v>256</v>
      </c>
      <c r="C175" s="189">
        <v>0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f>15049+63391+254091</f>
        <v>332531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332531</v>
      </c>
      <c r="E177" s="175"/>
    </row>
    <row r="178" spans="1:5" ht="11.4" customHeight="1" x14ac:dyDescent="0.25">
      <c r="A178" s="253" t="s">
        <v>317</v>
      </c>
      <c r="B178" s="253"/>
      <c r="C178" s="253"/>
      <c r="D178" s="253"/>
      <c r="E178" s="253"/>
    </row>
    <row r="179" spans="1:5" ht="11.4" customHeight="1" x14ac:dyDescent="0.25">
      <c r="A179" s="173" t="s">
        <v>318</v>
      </c>
      <c r="B179" s="172" t="s">
        <v>256</v>
      </c>
      <c r="C179" s="189">
        <v>0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0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0</v>
      </c>
      <c r="E181" s="175"/>
    </row>
    <row r="182" spans="1:5" ht="11.4" customHeight="1" x14ac:dyDescent="0.25">
      <c r="A182" s="253" t="s">
        <v>320</v>
      </c>
      <c r="B182" s="253"/>
      <c r="C182" s="253"/>
      <c r="D182" s="253"/>
      <c r="E182" s="253"/>
    </row>
    <row r="183" spans="1:5" ht="11.4" customHeight="1" x14ac:dyDescent="0.25">
      <c r="A183" s="173" t="s">
        <v>321</v>
      </c>
      <c r="B183" s="172" t="s">
        <v>256</v>
      </c>
      <c r="C183" s="189">
        <v>36222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69563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>
        <v>0</v>
      </c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105785</v>
      </c>
      <c r="E186" s="175"/>
    </row>
    <row r="187" spans="1:5" ht="11.4" customHeight="1" x14ac:dyDescent="0.25">
      <c r="A187" s="253" t="s">
        <v>323</v>
      </c>
      <c r="B187" s="253"/>
      <c r="C187" s="253"/>
      <c r="D187" s="253"/>
      <c r="E187" s="253"/>
    </row>
    <row r="188" spans="1:5" ht="11.4" customHeight="1" x14ac:dyDescent="0.2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0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0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5" t="s">
        <v>326</v>
      </c>
      <c r="B192" s="205"/>
      <c r="C192" s="205"/>
      <c r="D192" s="205"/>
      <c r="E192" s="205"/>
    </row>
    <row r="193" spans="1:8" ht="12.6" customHeight="1" x14ac:dyDescent="0.25">
      <c r="A193" s="204" t="s">
        <v>327</v>
      </c>
      <c r="B193" s="205"/>
      <c r="C193" s="205"/>
      <c r="D193" s="205"/>
      <c r="E193" s="205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277">
        <v>2862934</v>
      </c>
      <c r="C195" s="189">
        <v>0</v>
      </c>
      <c r="D195" s="174">
        <v>0</v>
      </c>
      <c r="E195" s="175">
        <f t="shared" ref="E195:E203" si="10">SUM(B195:C195)-D195</f>
        <v>2862934</v>
      </c>
    </row>
    <row r="196" spans="1:8" ht="12.6" customHeight="1" x14ac:dyDescent="0.25">
      <c r="A196" s="173" t="s">
        <v>333</v>
      </c>
      <c r="B196" s="277">
        <v>206831</v>
      </c>
      <c r="C196" s="189">
        <v>0</v>
      </c>
      <c r="D196" s="174">
        <v>0</v>
      </c>
      <c r="E196" s="175">
        <f t="shared" si="10"/>
        <v>206831</v>
      </c>
    </row>
    <row r="197" spans="1:8" ht="12.6" customHeight="1" x14ac:dyDescent="0.25">
      <c r="A197" s="173" t="s">
        <v>334</v>
      </c>
      <c r="B197" s="277">
        <v>20250362</v>
      </c>
      <c r="C197" s="189">
        <f>20324673-20250362</f>
        <v>74311</v>
      </c>
      <c r="D197" s="174">
        <v>0</v>
      </c>
      <c r="E197" s="175">
        <f t="shared" si="10"/>
        <v>20324673</v>
      </c>
    </row>
    <row r="198" spans="1:8" ht="12.6" customHeight="1" x14ac:dyDescent="0.25">
      <c r="A198" s="173" t="s">
        <v>335</v>
      </c>
      <c r="B198" s="277">
        <v>1842567</v>
      </c>
      <c r="C198" s="189">
        <f>1850426-1842567</f>
        <v>7859</v>
      </c>
      <c r="D198" s="174">
        <v>0</v>
      </c>
      <c r="E198" s="175">
        <f t="shared" si="10"/>
        <v>1850426</v>
      </c>
    </row>
    <row r="199" spans="1:8" ht="12.6" customHeight="1" x14ac:dyDescent="0.25">
      <c r="A199" s="173" t="s">
        <v>336</v>
      </c>
      <c r="B199" s="277">
        <v>0</v>
      </c>
      <c r="C199" s="189">
        <v>0</v>
      </c>
      <c r="D199" s="174">
        <v>0</v>
      </c>
      <c r="E199" s="175">
        <f t="shared" si="10"/>
        <v>0</v>
      </c>
    </row>
    <row r="200" spans="1:8" ht="12.6" customHeight="1" x14ac:dyDescent="0.25">
      <c r="A200" s="173" t="s">
        <v>337</v>
      </c>
      <c r="B200" s="277">
        <v>7076028</v>
      </c>
      <c r="C200" s="189">
        <f>7956434-7076028</f>
        <v>880406</v>
      </c>
      <c r="D200" s="174">
        <v>0</v>
      </c>
      <c r="E200" s="175">
        <f t="shared" si="10"/>
        <v>7956434</v>
      </c>
    </row>
    <row r="201" spans="1:8" ht="12.6" customHeight="1" x14ac:dyDescent="0.25">
      <c r="A201" s="173" t="s">
        <v>338</v>
      </c>
      <c r="B201" s="277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5">
      <c r="A202" s="173" t="s">
        <v>339</v>
      </c>
      <c r="B202" s="277">
        <v>0</v>
      </c>
      <c r="C202" s="189">
        <v>0</v>
      </c>
      <c r="D202" s="174">
        <v>0</v>
      </c>
      <c r="E202" s="175">
        <f t="shared" si="10"/>
        <v>0</v>
      </c>
    </row>
    <row r="203" spans="1:8" ht="12.6" customHeight="1" x14ac:dyDescent="0.25">
      <c r="A203" s="173" t="s">
        <v>340</v>
      </c>
      <c r="B203" s="277">
        <v>50895</v>
      </c>
      <c r="C203" s="189">
        <f>50895-50895</f>
        <v>0</v>
      </c>
      <c r="D203" s="174">
        <v>0</v>
      </c>
      <c r="E203" s="175">
        <f t="shared" si="10"/>
        <v>50895</v>
      </c>
    </row>
    <row r="204" spans="1:8" ht="12.6" customHeight="1" x14ac:dyDescent="0.25">
      <c r="A204" s="173" t="s">
        <v>203</v>
      </c>
      <c r="B204" s="175">
        <f>SUM(B195:B203)</f>
        <v>32289617</v>
      </c>
      <c r="C204" s="191">
        <f>SUM(C195:C203)</f>
        <v>962576</v>
      </c>
      <c r="D204" s="175">
        <f>SUM(D195:D203)</f>
        <v>0</v>
      </c>
      <c r="E204" s="175">
        <f>SUM(E195:E203)</f>
        <v>33252193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4" t="s">
        <v>341</v>
      </c>
      <c r="B206" s="204"/>
      <c r="C206" s="204"/>
      <c r="D206" s="204"/>
      <c r="E206" s="204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5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5"/>
    </row>
    <row r="209" spans="1:8" ht="12.6" customHeight="1" x14ac:dyDescent="0.25">
      <c r="A209" s="173" t="s">
        <v>333</v>
      </c>
      <c r="B209" s="277">
        <v>153975</v>
      </c>
      <c r="C209" s="189">
        <f>158391-153975</f>
        <v>4416</v>
      </c>
      <c r="D209" s="174"/>
      <c r="E209" s="175">
        <f t="shared" ref="E209:E216" si="11">SUM(B209:C209)-D209</f>
        <v>158391</v>
      </c>
      <c r="H209" s="255"/>
    </row>
    <row r="210" spans="1:8" ht="12.6" customHeight="1" x14ac:dyDescent="0.25">
      <c r="A210" s="173" t="s">
        <v>334</v>
      </c>
      <c r="B210" s="277">
        <v>12980014</v>
      </c>
      <c r="C210" s="189">
        <f>13498762-12980014</f>
        <v>518748</v>
      </c>
      <c r="D210" s="174"/>
      <c r="E210" s="175">
        <f t="shared" si="11"/>
        <v>13498762</v>
      </c>
      <c r="H210" s="255"/>
    </row>
    <row r="211" spans="1:8" ht="12.6" customHeight="1" x14ac:dyDescent="0.25">
      <c r="A211" s="173" t="s">
        <v>335</v>
      </c>
      <c r="B211" s="277">
        <v>1756562</v>
      </c>
      <c r="C211" s="189">
        <f>1795419-1756562</f>
        <v>38857</v>
      </c>
      <c r="D211" s="174"/>
      <c r="E211" s="175">
        <f t="shared" si="11"/>
        <v>1795419</v>
      </c>
      <c r="H211" s="255"/>
    </row>
    <row r="212" spans="1:8" ht="12.6" customHeight="1" x14ac:dyDescent="0.25">
      <c r="A212" s="173" t="s">
        <v>336</v>
      </c>
      <c r="B212" s="277">
        <v>0</v>
      </c>
      <c r="C212" s="189">
        <v>0</v>
      </c>
      <c r="D212" s="174"/>
      <c r="E212" s="175">
        <f t="shared" si="11"/>
        <v>0</v>
      </c>
      <c r="H212" s="255"/>
    </row>
    <row r="213" spans="1:8" ht="12.6" customHeight="1" x14ac:dyDescent="0.25">
      <c r="A213" s="173" t="s">
        <v>337</v>
      </c>
      <c r="B213" s="277">
        <v>4727471</v>
      </c>
      <c r="C213" s="189">
        <f>6054237-138229-4727471</f>
        <v>1188537</v>
      </c>
      <c r="D213" s="174"/>
      <c r="E213" s="175">
        <f t="shared" si="11"/>
        <v>5916008</v>
      </c>
      <c r="H213" s="255"/>
    </row>
    <row r="214" spans="1:8" ht="12.6" customHeight="1" x14ac:dyDescent="0.25">
      <c r="A214" s="173" t="s">
        <v>338</v>
      </c>
      <c r="B214" s="277">
        <v>0</v>
      </c>
      <c r="C214" s="189">
        <v>0</v>
      </c>
      <c r="D214" s="174"/>
      <c r="E214" s="175">
        <f t="shared" si="11"/>
        <v>0</v>
      </c>
      <c r="H214" s="255"/>
    </row>
    <row r="215" spans="1:8" ht="12.6" customHeight="1" x14ac:dyDescent="0.25">
      <c r="A215" s="173" t="s">
        <v>339</v>
      </c>
      <c r="B215" s="277">
        <v>0</v>
      </c>
      <c r="C215" s="189">
        <v>0</v>
      </c>
      <c r="D215" s="174"/>
      <c r="E215" s="175">
        <f t="shared" si="11"/>
        <v>0</v>
      </c>
      <c r="H215" s="255"/>
    </row>
    <row r="216" spans="1:8" ht="12.6" customHeight="1" x14ac:dyDescent="0.25">
      <c r="A216" s="173" t="s">
        <v>340</v>
      </c>
      <c r="B216" s="277">
        <v>0</v>
      </c>
      <c r="C216" s="189">
        <v>0</v>
      </c>
      <c r="D216" s="174"/>
      <c r="E216" s="175">
        <f t="shared" si="11"/>
        <v>0</v>
      </c>
      <c r="H216" s="255"/>
    </row>
    <row r="217" spans="1:8" ht="12.6" customHeight="1" x14ac:dyDescent="0.25">
      <c r="A217" s="173" t="s">
        <v>203</v>
      </c>
      <c r="B217" s="175">
        <f>SUM(B208:B216)</f>
        <v>19618022</v>
      </c>
      <c r="C217" s="191">
        <f>SUM(C208:C216)</f>
        <v>1750558</v>
      </c>
      <c r="D217" s="175">
        <f>SUM(D208:D216)</f>
        <v>0</v>
      </c>
      <c r="E217" s="175">
        <f>SUM(E208:E216)</f>
        <v>21368580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5" t="s">
        <v>342</v>
      </c>
      <c r="B219" s="205"/>
      <c r="C219" s="205"/>
      <c r="D219" s="205"/>
      <c r="E219" s="205"/>
    </row>
    <row r="220" spans="1:8" ht="12.6" customHeight="1" x14ac:dyDescent="0.25">
      <c r="A220" s="205"/>
      <c r="B220" s="278" t="s">
        <v>991</v>
      </c>
      <c r="C220" s="278"/>
      <c r="D220" s="205"/>
      <c r="E220" s="205"/>
    </row>
    <row r="221" spans="1:8" ht="12.6" customHeight="1" x14ac:dyDescent="0.25">
      <c r="A221" s="267" t="s">
        <v>991</v>
      </c>
      <c r="B221" s="205"/>
      <c r="C221" s="189">
        <v>0</v>
      </c>
      <c r="D221" s="172">
        <f>C221</f>
        <v>0</v>
      </c>
      <c r="E221" s="205"/>
    </row>
    <row r="222" spans="1:8" ht="12.6" customHeight="1" x14ac:dyDescent="0.25">
      <c r="A222" s="253" t="s">
        <v>343</v>
      </c>
      <c r="B222" s="253"/>
      <c r="C222" s="253"/>
      <c r="D222" s="253"/>
      <c r="E222" s="253"/>
    </row>
    <row r="223" spans="1:8" ht="12.6" customHeight="1" x14ac:dyDescent="0.25">
      <c r="A223" s="173" t="s">
        <v>344</v>
      </c>
      <c r="B223" s="172" t="s">
        <v>256</v>
      </c>
      <c r="C223" s="189">
        <v>0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f>13313-390508+3137451+11985690</f>
        <v>14745946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0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f>46626+712950</f>
        <v>759576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f>-95325+164288+5956908+4146344</f>
        <v>10172215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f>105308+87323</f>
        <v>192631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25870368</v>
      </c>
      <c r="E229" s="175"/>
    </row>
    <row r="230" spans="1:5" ht="12.6" customHeight="1" x14ac:dyDescent="0.25">
      <c r="A230" s="253" t="s">
        <v>351</v>
      </c>
      <c r="B230" s="253"/>
      <c r="C230" s="253"/>
      <c r="D230" s="253"/>
      <c r="E230" s="253"/>
    </row>
    <row r="231" spans="1:5" ht="12.6" customHeight="1" x14ac:dyDescent="0.25">
      <c r="A231" s="171" t="s">
        <v>352</v>
      </c>
      <c r="B231" s="172" t="s">
        <v>256</v>
      </c>
      <c r="C231" s="189">
        <f>114+485</f>
        <v>599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f>1222402+123098</f>
        <v>1345500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f>-1963+2909+342236+55136-204+3708+2051395+286604-1345500</f>
        <v>1394321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2739821</v>
      </c>
      <c r="E236" s="175"/>
    </row>
    <row r="237" spans="1:5" ht="12.6" customHeight="1" x14ac:dyDescent="0.25">
      <c r="A237" s="253" t="s">
        <v>356</v>
      </c>
      <c r="B237" s="253"/>
      <c r="C237" s="253"/>
      <c r="D237" s="253"/>
      <c r="E237" s="253"/>
    </row>
    <row r="238" spans="1:5" ht="12.6" customHeight="1" x14ac:dyDescent="0.25">
      <c r="A238" s="173" t="s">
        <v>357</v>
      </c>
      <c r="B238" s="172" t="s">
        <v>256</v>
      </c>
      <c r="C238" s="189">
        <v>105023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f>726490+23834</f>
        <v>750324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855347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29465536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5" t="s">
        <v>360</v>
      </c>
      <c r="B248" s="205"/>
      <c r="C248" s="205"/>
      <c r="D248" s="205"/>
      <c r="E248" s="205"/>
    </row>
    <row r="249" spans="1:5" ht="11.25" customHeight="1" x14ac:dyDescent="0.25">
      <c r="A249" s="253" t="s">
        <v>361</v>
      </c>
      <c r="B249" s="253"/>
      <c r="C249" s="253"/>
      <c r="D249" s="253"/>
      <c r="E249" s="253"/>
    </row>
    <row r="250" spans="1:5" ht="12.45" customHeight="1" x14ac:dyDescent="0.25">
      <c r="A250" s="173" t="s">
        <v>362</v>
      </c>
      <c r="B250" s="172" t="s">
        <v>256</v>
      </c>
      <c r="C250" s="189">
        <v>256081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>
        <v>0</v>
      </c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f>5382820+15738</f>
        <v>5398558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4080663</v>
      </c>
      <c r="D253" s="175"/>
      <c r="E253" s="175"/>
    </row>
    <row r="254" spans="1:5" ht="12.45" customHeight="1" x14ac:dyDescent="0.25">
      <c r="A254" s="173" t="s">
        <v>977</v>
      </c>
      <c r="B254" s="172" t="s">
        <v>256</v>
      </c>
      <c r="C254" s="189">
        <v>18904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0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716220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287496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2596596</v>
      </c>
      <c r="E260" s="175"/>
    </row>
    <row r="261" spans="1:5" ht="11.25" customHeight="1" x14ac:dyDescent="0.25">
      <c r="A261" s="253" t="s">
        <v>372</v>
      </c>
      <c r="B261" s="253"/>
      <c r="C261" s="253"/>
      <c r="D261" s="253"/>
      <c r="E261" s="253"/>
    </row>
    <row r="262" spans="1:5" ht="12.45" customHeight="1" x14ac:dyDescent="0.25">
      <c r="A262" s="173" t="s">
        <v>362</v>
      </c>
      <c r="B262" s="172" t="s">
        <v>256</v>
      </c>
      <c r="C262" s="189">
        <v>0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v>0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0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3" t="s">
        <v>375</v>
      </c>
      <c r="B266" s="253"/>
      <c r="C266" s="253"/>
      <c r="D266" s="253"/>
      <c r="E266" s="253"/>
    </row>
    <row r="267" spans="1:5" ht="12.45" customHeight="1" x14ac:dyDescent="0.25">
      <c r="A267" s="173" t="s">
        <v>332</v>
      </c>
      <c r="B267" s="172" t="s">
        <v>256</v>
      </c>
      <c r="C267" s="189">
        <v>2862934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206831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20324673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1850426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7956434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0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50895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33252193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f>158391+13498762+1795419+6054237-138229</f>
        <v>21368580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11883613</v>
      </c>
      <c r="E277" s="175"/>
    </row>
    <row r="278" spans="1:5" ht="12.6" customHeight="1" x14ac:dyDescent="0.25">
      <c r="A278" s="253" t="s">
        <v>382</v>
      </c>
      <c r="B278" s="253"/>
      <c r="C278" s="253"/>
      <c r="D278" s="253"/>
      <c r="E278" s="253"/>
    </row>
    <row r="279" spans="1:5" ht="12.6" customHeight="1" x14ac:dyDescent="0.25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0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0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3" t="s">
        <v>387</v>
      </c>
      <c r="B285" s="253"/>
      <c r="C285" s="253"/>
      <c r="D285" s="253"/>
      <c r="E285" s="253"/>
    </row>
    <row r="286" spans="1:5" ht="12.6" customHeight="1" x14ac:dyDescent="0.25">
      <c r="A286" s="173" t="s">
        <v>388</v>
      </c>
      <c r="B286" s="172" t="s">
        <v>256</v>
      </c>
      <c r="C286" s="189">
        <v>0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>
        <v>0</v>
      </c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0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14480209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5" t="s">
        <v>394</v>
      </c>
      <c r="B302" s="205"/>
      <c r="C302" s="205"/>
      <c r="D302" s="205"/>
      <c r="E302" s="205"/>
    </row>
    <row r="303" spans="1:5" ht="14.25" customHeight="1" x14ac:dyDescent="0.25">
      <c r="A303" s="253" t="s">
        <v>395</v>
      </c>
      <c r="B303" s="253"/>
      <c r="C303" s="253"/>
      <c r="D303" s="253"/>
      <c r="E303" s="253"/>
    </row>
    <row r="304" spans="1:5" ht="12.6" customHeight="1" x14ac:dyDescent="0.25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f>16174+164398+351681</f>
        <v>532253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f>599327+45849+1144914</f>
        <v>1790090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f>419+116-306</f>
        <v>229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" customHeight="1" x14ac:dyDescent="0.25">
      <c r="A309" s="173" t="s">
        <v>978</v>
      </c>
      <c r="B309" s="172" t="s">
        <v>256</v>
      </c>
      <c r="C309" s="189">
        <v>0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f>56893-5997</f>
        <v>50896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2373468</v>
      </c>
      <c r="E314" s="175"/>
    </row>
    <row r="315" spans="1:5" ht="12.6" customHeight="1" x14ac:dyDescent="0.25">
      <c r="A315" s="253" t="s">
        <v>406</v>
      </c>
      <c r="B315" s="253"/>
      <c r="C315" s="253"/>
      <c r="D315" s="253"/>
      <c r="E315" s="253"/>
    </row>
    <row r="316" spans="1:5" ht="12.6" customHeight="1" x14ac:dyDescent="0.25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0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3" t="s">
        <v>411</v>
      </c>
      <c r="B320" s="253"/>
      <c r="C320" s="253"/>
      <c r="D320" s="253"/>
      <c r="E320" s="253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0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0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0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0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18">
        <v>12106739</v>
      </c>
      <c r="D332" s="175"/>
      <c r="E332" s="175"/>
    </row>
    <row r="333" spans="1:5" ht="12.6" customHeight="1" x14ac:dyDescent="0.25">
      <c r="A333" s="173"/>
      <c r="B333" s="172"/>
      <c r="C333" s="228"/>
      <c r="D333" s="175"/>
      <c r="E333" s="175"/>
    </row>
    <row r="334" spans="1:5" ht="12.6" customHeight="1" x14ac:dyDescent="0.25">
      <c r="A334" s="173" t="s">
        <v>878</v>
      </c>
      <c r="B334" s="172" t="s">
        <v>256</v>
      </c>
      <c r="C334" s="218">
        <v>0</v>
      </c>
      <c r="D334" s="175"/>
      <c r="E334" s="175"/>
    </row>
    <row r="335" spans="1:5" ht="12.6" customHeight="1" x14ac:dyDescent="0.25">
      <c r="A335" s="173" t="s">
        <v>879</v>
      </c>
      <c r="B335" s="172" t="s">
        <v>256</v>
      </c>
      <c r="C335" s="218">
        <v>0</v>
      </c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18">
        <v>0</v>
      </c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0</v>
      </c>
      <c r="D337" s="175"/>
      <c r="E337" s="175"/>
    </row>
    <row r="338" spans="1:5" ht="12.6" customHeight="1" x14ac:dyDescent="0.25">
      <c r="A338" s="173" t="s">
        <v>989</v>
      </c>
      <c r="B338" s="172" t="s">
        <v>256</v>
      </c>
      <c r="C338" s="189">
        <v>0</v>
      </c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14480207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14480209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5" t="s">
        <v>426</v>
      </c>
      <c r="B357" s="205"/>
      <c r="C357" s="205"/>
      <c r="D357" s="205"/>
      <c r="E357" s="205"/>
    </row>
    <row r="358" spans="1:5" ht="12.6" customHeight="1" x14ac:dyDescent="0.25">
      <c r="A358" s="253" t="s">
        <v>427</v>
      </c>
      <c r="B358" s="253"/>
      <c r="C358" s="253"/>
      <c r="D358" s="253"/>
      <c r="E358" s="253"/>
    </row>
    <row r="359" spans="1:5" ht="12.6" customHeight="1" x14ac:dyDescent="0.25">
      <c r="A359" s="173" t="s">
        <v>428</v>
      </c>
      <c r="B359" s="172" t="s">
        <v>256</v>
      </c>
      <c r="C359" s="189">
        <v>11337625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27126856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38464481</v>
      </c>
      <c r="E361" s="175"/>
    </row>
    <row r="362" spans="1:5" ht="12.6" customHeight="1" x14ac:dyDescent="0.25">
      <c r="A362" s="253" t="s">
        <v>431</v>
      </c>
      <c r="B362" s="253"/>
      <c r="C362" s="253"/>
      <c r="D362" s="253"/>
      <c r="E362" s="253"/>
    </row>
    <row r="363" spans="1:5" ht="12.6" customHeight="1" x14ac:dyDescent="0.25">
      <c r="A363" s="173" t="s">
        <v>991</v>
      </c>
      <c r="B363" s="253"/>
      <c r="C363" s="189">
        <v>0</v>
      </c>
      <c r="D363" s="175"/>
      <c r="E363" s="253"/>
    </row>
    <row r="364" spans="1:5" ht="12.6" customHeight="1" x14ac:dyDescent="0.25">
      <c r="A364" s="173" t="s">
        <v>432</v>
      </c>
      <c r="B364" s="172" t="s">
        <v>256</v>
      </c>
      <c r="C364" s="189">
        <v>26725715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f>-1963+2909+342236+55136-204+3708+2051395+286604</f>
        <v>2739821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0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29465536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8998945</v>
      </c>
      <c r="E368" s="175"/>
    </row>
    <row r="369" spans="1:5" ht="12.6" customHeight="1" x14ac:dyDescent="0.25">
      <c r="A369" s="253" t="s">
        <v>436</v>
      </c>
      <c r="B369" s="253"/>
      <c r="C369" s="253"/>
      <c r="D369" s="253"/>
      <c r="E369" s="253"/>
    </row>
    <row r="370" spans="1:5" ht="12.6" customHeight="1" x14ac:dyDescent="0.25">
      <c r="A370" s="173" t="s">
        <v>437</v>
      </c>
      <c r="B370" s="172" t="s">
        <v>256</v>
      </c>
      <c r="C370" s="189">
        <f>232636+3416175+962980-2742058</f>
        <v>1869733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0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1869733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10868678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3" t="s">
        <v>441</v>
      </c>
      <c r="B377" s="253"/>
      <c r="C377" s="253"/>
      <c r="D377" s="253"/>
      <c r="E377" s="253"/>
    </row>
    <row r="378" spans="1:5" ht="12.6" customHeight="1" x14ac:dyDescent="0.25">
      <c r="A378" s="173" t="s">
        <v>442</v>
      </c>
      <c r="B378" s="172" t="s">
        <v>256</v>
      </c>
      <c r="C378" s="189">
        <f>14430256+2711</f>
        <v>14432967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f>2941141+1137321</f>
        <v>4078462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321600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2747505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411234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254091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1042751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f>15049+63391</f>
        <v>78440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0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f>36222+69563</f>
        <v>105785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0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1231690+15188</f>
        <v>1246878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24719713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-13851035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165327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-13685708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>
        <v>0</v>
      </c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>
        <v>0</v>
      </c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-13685708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6"/>
    </row>
    <row r="412" spans="1:5" ht="12.6" customHeight="1" x14ac:dyDescent="0.25">
      <c r="A412" s="179" t="str">
        <f>C84&amp;"   "&amp;"H-"&amp;FIXED(C83,0,TRUE)&amp;"     FYE "&amp;C82</f>
        <v>Shriners Hospitals for Children - Spokane   H-0     FYE 12/31/2018</v>
      </c>
      <c r="B412" s="179"/>
      <c r="C412" s="179"/>
      <c r="D412" s="179"/>
      <c r="E412" s="256"/>
    </row>
    <row r="413" spans="1:5" ht="12.6" customHeight="1" x14ac:dyDescent="0.25">
      <c r="A413" s="179" t="s">
        <v>460</v>
      </c>
      <c r="B413" s="181" t="s">
        <v>461</v>
      </c>
      <c r="C413" s="181" t="s">
        <v>979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164</v>
      </c>
      <c r="C414" s="194">
        <f>E138</f>
        <v>164</v>
      </c>
      <c r="D414" s="179"/>
    </row>
    <row r="415" spans="1:5" ht="12.6" customHeight="1" x14ac:dyDescent="0.25">
      <c r="A415" s="179" t="s">
        <v>464</v>
      </c>
      <c r="B415" s="179">
        <f>D111</f>
        <v>694</v>
      </c>
      <c r="C415" s="179">
        <f>E139</f>
        <v>694</v>
      </c>
      <c r="D415" s="194">
        <f>SUM(C59:H59)+N59</f>
        <v>694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3"/>
      <c r="B422" s="203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980</v>
      </c>
      <c r="B424" s="179">
        <f>D114</f>
        <v>0</v>
      </c>
      <c r="D424" s="179">
        <f>J59</f>
        <v>0</v>
      </c>
    </row>
    <row r="425" spans="1:7" ht="12.6" customHeight="1" x14ac:dyDescent="0.25">
      <c r="A425" s="203"/>
      <c r="B425" s="203"/>
      <c r="C425" s="203"/>
      <c r="D425" s="203"/>
      <c r="F425" s="203"/>
      <c r="G425" s="203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14432967</v>
      </c>
      <c r="C427" s="179">
        <f t="shared" ref="C427:C434" si="13">CE61</f>
        <v>14430256</v>
      </c>
      <c r="D427" s="179"/>
    </row>
    <row r="428" spans="1:7" ht="12.6" customHeight="1" x14ac:dyDescent="0.25">
      <c r="A428" s="179" t="s">
        <v>3</v>
      </c>
      <c r="B428" s="179">
        <f t="shared" si="12"/>
        <v>4078462</v>
      </c>
      <c r="C428" s="179">
        <f t="shared" si="13"/>
        <v>4078459</v>
      </c>
      <c r="D428" s="179">
        <f>D173</f>
        <v>4078462</v>
      </c>
    </row>
    <row r="429" spans="1:7" ht="12.6" customHeight="1" x14ac:dyDescent="0.25">
      <c r="A429" s="179" t="s">
        <v>236</v>
      </c>
      <c r="B429" s="179">
        <f t="shared" si="12"/>
        <v>321600</v>
      </c>
      <c r="C429" s="179">
        <f t="shared" si="13"/>
        <v>0</v>
      </c>
      <c r="D429" s="179"/>
    </row>
    <row r="430" spans="1:7" ht="12.6" customHeight="1" x14ac:dyDescent="0.25">
      <c r="A430" s="179" t="s">
        <v>237</v>
      </c>
      <c r="B430" s="179">
        <f t="shared" si="12"/>
        <v>2747505</v>
      </c>
      <c r="C430" s="179">
        <f t="shared" si="13"/>
        <v>1</v>
      </c>
      <c r="D430" s="179"/>
    </row>
    <row r="431" spans="1:7" ht="12.6" customHeight="1" x14ac:dyDescent="0.25">
      <c r="A431" s="179" t="s">
        <v>444</v>
      </c>
      <c r="B431" s="179">
        <f t="shared" si="12"/>
        <v>411234</v>
      </c>
      <c r="C431" s="179">
        <f t="shared" si="13"/>
        <v>0</v>
      </c>
      <c r="D431" s="179"/>
    </row>
    <row r="432" spans="1:7" ht="12.6" customHeight="1" x14ac:dyDescent="0.25">
      <c r="A432" s="179" t="s">
        <v>445</v>
      </c>
      <c r="B432" s="179">
        <f t="shared" si="12"/>
        <v>254091</v>
      </c>
      <c r="C432" s="179">
        <f t="shared" si="13"/>
        <v>0</v>
      </c>
      <c r="D432" s="179"/>
    </row>
    <row r="433" spans="1:7" ht="12.6" customHeight="1" x14ac:dyDescent="0.25">
      <c r="A433" s="179" t="s">
        <v>6</v>
      </c>
      <c r="B433" s="179">
        <f t="shared" si="12"/>
        <v>1042751</v>
      </c>
      <c r="C433" s="179">
        <f t="shared" si="13"/>
        <v>1042750</v>
      </c>
      <c r="D433" s="179">
        <f>C217</f>
        <v>1750558</v>
      </c>
    </row>
    <row r="434" spans="1:7" ht="12.6" customHeight="1" x14ac:dyDescent="0.25">
      <c r="A434" s="179" t="s">
        <v>474</v>
      </c>
      <c r="B434" s="179">
        <f t="shared" si="12"/>
        <v>78440</v>
      </c>
      <c r="C434" s="179">
        <f t="shared" si="13"/>
        <v>0</v>
      </c>
      <c r="D434" s="179">
        <f>D177</f>
        <v>332531</v>
      </c>
    </row>
    <row r="435" spans="1:7" ht="12.6" customHeight="1" x14ac:dyDescent="0.25">
      <c r="A435" s="179" t="s">
        <v>447</v>
      </c>
      <c r="B435" s="179">
        <f t="shared" si="12"/>
        <v>0</v>
      </c>
      <c r="C435" s="179"/>
      <c r="D435" s="179">
        <f>D181</f>
        <v>0</v>
      </c>
    </row>
    <row r="436" spans="1:7" ht="12.6" customHeight="1" x14ac:dyDescent="0.25">
      <c r="A436" s="179" t="s">
        <v>475</v>
      </c>
      <c r="B436" s="179">
        <f t="shared" si="12"/>
        <v>105785</v>
      </c>
      <c r="C436" s="179"/>
      <c r="D436" s="179">
        <f>D186</f>
        <v>105785</v>
      </c>
    </row>
    <row r="437" spans="1:7" ht="12.6" customHeight="1" x14ac:dyDescent="0.25">
      <c r="A437" s="194" t="s">
        <v>449</v>
      </c>
      <c r="B437" s="194">
        <f t="shared" si="12"/>
        <v>0</v>
      </c>
      <c r="C437" s="194"/>
      <c r="D437" s="194">
        <f>D190</f>
        <v>0</v>
      </c>
    </row>
    <row r="438" spans="1:7" ht="12.6" customHeight="1" x14ac:dyDescent="0.25">
      <c r="A438" s="194" t="s">
        <v>476</v>
      </c>
      <c r="B438" s="194">
        <f>C386+C387+C388</f>
        <v>105785</v>
      </c>
      <c r="C438" s="194">
        <f>CD69</f>
        <v>0</v>
      </c>
      <c r="D438" s="194">
        <f>D181+D186+D190</f>
        <v>105785</v>
      </c>
    </row>
    <row r="439" spans="1:7" ht="12.6" customHeight="1" x14ac:dyDescent="0.25">
      <c r="A439" s="179" t="s">
        <v>451</v>
      </c>
      <c r="B439" s="194">
        <f>C389</f>
        <v>1246878</v>
      </c>
      <c r="C439" s="194">
        <f>SUM(C69:CC69)</f>
        <v>0</v>
      </c>
      <c r="D439" s="179"/>
    </row>
    <row r="440" spans="1:7" ht="12.6" customHeight="1" x14ac:dyDescent="0.25">
      <c r="A440" s="179" t="s">
        <v>477</v>
      </c>
      <c r="B440" s="194">
        <f>B438+B439</f>
        <v>1352663</v>
      </c>
      <c r="C440" s="194">
        <f>CE69</f>
        <v>0</v>
      </c>
      <c r="D440" s="179"/>
    </row>
    <row r="441" spans="1:7" ht="12.6" customHeight="1" x14ac:dyDescent="0.25">
      <c r="A441" s="179" t="s">
        <v>478</v>
      </c>
      <c r="B441" s="179">
        <f>D390</f>
        <v>24719713</v>
      </c>
      <c r="C441" s="179">
        <f>SUM(C427:C437)+C440</f>
        <v>19551466</v>
      </c>
      <c r="D441" s="179"/>
    </row>
    <row r="442" spans="1:7" ht="12.6" customHeight="1" x14ac:dyDescent="0.25">
      <c r="A442" s="203"/>
      <c r="B442" s="203"/>
      <c r="C442" s="203"/>
      <c r="D442" s="203"/>
      <c r="F442" s="203"/>
      <c r="G442" s="203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992</v>
      </c>
      <c r="B444" s="179">
        <f>D221</f>
        <v>0</v>
      </c>
      <c r="C444" s="179">
        <f>C363</f>
        <v>0</v>
      </c>
      <c r="D444" s="179"/>
    </row>
    <row r="445" spans="1:7" ht="12.6" customHeight="1" x14ac:dyDescent="0.25">
      <c r="A445" s="179" t="s">
        <v>343</v>
      </c>
      <c r="B445" s="179">
        <f>D229</f>
        <v>25870368</v>
      </c>
      <c r="C445" s="179">
        <f>C364</f>
        <v>26725715</v>
      </c>
      <c r="D445" s="179"/>
    </row>
    <row r="446" spans="1:7" ht="12.6" customHeight="1" x14ac:dyDescent="0.25">
      <c r="A446" s="179" t="s">
        <v>351</v>
      </c>
      <c r="B446" s="179">
        <f>D236</f>
        <v>2739821</v>
      </c>
      <c r="C446" s="179">
        <f>C365</f>
        <v>2739821</v>
      </c>
      <c r="D446" s="179"/>
    </row>
    <row r="447" spans="1:7" ht="12.6" customHeight="1" x14ac:dyDescent="0.25">
      <c r="A447" s="179" t="s">
        <v>356</v>
      </c>
      <c r="B447" s="179">
        <f>D240</f>
        <v>855347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29465536</v>
      </c>
      <c r="C448" s="179">
        <f>D367</f>
        <v>29465536</v>
      </c>
      <c r="D448" s="179"/>
    </row>
    <row r="449" spans="1:7" ht="12.6" customHeight="1" x14ac:dyDescent="0.25">
      <c r="A449" s="203"/>
      <c r="B449" s="203"/>
      <c r="C449" s="203"/>
      <c r="D449" s="203"/>
      <c r="F449" s="203"/>
      <c r="G449" s="203"/>
    </row>
    <row r="450" spans="1:7" ht="12.6" customHeight="1" x14ac:dyDescent="0.25">
      <c r="A450" s="180" t="s">
        <v>481</v>
      </c>
      <c r="B450" s="181" t="s">
        <v>482</v>
      </c>
      <c r="C450" s="203"/>
      <c r="D450" s="203"/>
      <c r="F450" s="203"/>
      <c r="G450" s="203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599</v>
      </c>
    </row>
    <row r="454" spans="1:7" ht="12.6" customHeight="1" x14ac:dyDescent="0.25">
      <c r="A454" s="179" t="s">
        <v>168</v>
      </c>
      <c r="B454" s="179">
        <f>C233</f>
        <v>1345500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1394321</v>
      </c>
      <c r="C455" s="179"/>
      <c r="D455" s="179"/>
    </row>
    <row r="456" spans="1:7" ht="12.6" customHeight="1" x14ac:dyDescent="0.25">
      <c r="A456" s="203"/>
      <c r="B456" s="203"/>
      <c r="C456" s="203"/>
      <c r="D456" s="203"/>
      <c r="F456" s="203"/>
      <c r="G456" s="203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1869733</v>
      </c>
      <c r="C458" s="194">
        <f>CE70</f>
        <v>1869733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3"/>
      <c r="B460" s="203"/>
      <c r="C460" s="203"/>
      <c r="D460" s="203"/>
      <c r="F460" s="203"/>
      <c r="G460" s="203"/>
    </row>
    <row r="461" spans="1:7" ht="12.6" customHeight="1" x14ac:dyDescent="0.25">
      <c r="A461" s="179" t="s">
        <v>488</v>
      </c>
      <c r="B461" s="181"/>
      <c r="C461" s="181"/>
      <c r="D461" s="181" t="s">
        <v>981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11337625</v>
      </c>
      <c r="C463" s="194">
        <f>CE73</f>
        <v>10007349</v>
      </c>
      <c r="D463" s="194">
        <f>E141+E147+E153</f>
        <v>11337625</v>
      </c>
    </row>
    <row r="464" spans="1:7" ht="12.6" customHeight="1" x14ac:dyDescent="0.25">
      <c r="A464" s="179" t="s">
        <v>246</v>
      </c>
      <c r="B464" s="194">
        <f>C360</f>
        <v>27126856</v>
      </c>
      <c r="C464" s="194">
        <f>CE74</f>
        <v>21657868</v>
      </c>
      <c r="D464" s="194">
        <f>E142+E148+E154</f>
        <v>27126856</v>
      </c>
    </row>
    <row r="465" spans="1:7" ht="12.6" customHeight="1" x14ac:dyDescent="0.25">
      <c r="A465" s="179" t="s">
        <v>247</v>
      </c>
      <c r="B465" s="194">
        <f>D361</f>
        <v>38464481</v>
      </c>
      <c r="C465" s="194">
        <f>CE75</f>
        <v>31665217</v>
      </c>
      <c r="D465" s="194">
        <f>D463+D464</f>
        <v>38464481</v>
      </c>
    </row>
    <row r="466" spans="1:7" ht="12.6" customHeight="1" x14ac:dyDescent="0.25">
      <c r="A466" s="203"/>
      <c r="B466" s="203"/>
      <c r="C466" s="203"/>
      <c r="D466" s="203"/>
      <c r="F466" s="203"/>
      <c r="G466" s="203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2862934</v>
      </c>
      <c r="C468" s="179">
        <f>E195</f>
        <v>2862934</v>
      </c>
      <c r="D468" s="179"/>
    </row>
    <row r="469" spans="1:7" ht="12.6" customHeight="1" x14ac:dyDescent="0.25">
      <c r="A469" s="179" t="s">
        <v>333</v>
      </c>
      <c r="B469" s="179">
        <f t="shared" si="14"/>
        <v>206831</v>
      </c>
      <c r="C469" s="179">
        <f>E196</f>
        <v>206831</v>
      </c>
      <c r="D469" s="179"/>
    </row>
    <row r="470" spans="1:7" ht="12.6" customHeight="1" x14ac:dyDescent="0.25">
      <c r="A470" s="179" t="s">
        <v>334</v>
      </c>
      <c r="B470" s="179">
        <f t="shared" si="14"/>
        <v>20324673</v>
      </c>
      <c r="C470" s="179">
        <f>E197</f>
        <v>20324673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1850426</v>
      </c>
      <c r="D471" s="179"/>
    </row>
    <row r="472" spans="1:7" ht="12.6" customHeight="1" x14ac:dyDescent="0.25">
      <c r="A472" s="179" t="s">
        <v>377</v>
      </c>
      <c r="B472" s="179">
        <f t="shared" si="14"/>
        <v>1850426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7956434</v>
      </c>
      <c r="C473" s="179">
        <f>SUM(E200:E201)</f>
        <v>7956434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50895</v>
      </c>
      <c r="C475" s="179">
        <f>E203</f>
        <v>50895</v>
      </c>
      <c r="D475" s="179"/>
    </row>
    <row r="476" spans="1:7" ht="12.6" customHeight="1" x14ac:dyDescent="0.25">
      <c r="A476" s="179" t="s">
        <v>203</v>
      </c>
      <c r="B476" s="179">
        <f>D275</f>
        <v>33252193</v>
      </c>
      <c r="C476" s="179">
        <f>E204</f>
        <v>33252193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21368580</v>
      </c>
      <c r="C478" s="179">
        <f>E217</f>
        <v>21368580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14480209</v>
      </c>
    </row>
    <row r="482" spans="1:12" ht="12.6" customHeight="1" x14ac:dyDescent="0.25">
      <c r="A482" s="180" t="s">
        <v>499</v>
      </c>
      <c r="C482" s="180">
        <f>D339</f>
        <v>14480207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042</v>
      </c>
      <c r="B493" s="257" t="s">
        <v>1002</v>
      </c>
      <c r="C493" s="257" t="str">
        <f>RIGHT(C82,4)</f>
        <v>2018</v>
      </c>
      <c r="D493" s="257" t="s">
        <v>1002</v>
      </c>
      <c r="E493" s="257" t="str">
        <f>RIGHT(C82,4)</f>
        <v>2018</v>
      </c>
      <c r="F493" s="257" t="s">
        <v>1002</v>
      </c>
      <c r="G493" s="257" t="str">
        <f>RIGHT(C82,4)</f>
        <v>2018</v>
      </c>
      <c r="H493" s="257"/>
      <c r="K493" s="257"/>
      <c r="L493" s="257"/>
    </row>
    <row r="494" spans="1:12" ht="12.6" customHeight="1" x14ac:dyDescent="0.25">
      <c r="A494" s="198"/>
      <c r="B494" s="181" t="s">
        <v>505</v>
      </c>
      <c r="C494" s="181" t="s">
        <v>505</v>
      </c>
      <c r="D494" s="258" t="s">
        <v>506</v>
      </c>
      <c r="E494" s="258" t="s">
        <v>506</v>
      </c>
      <c r="F494" s="257" t="s">
        <v>507</v>
      </c>
      <c r="G494" s="257" t="s">
        <v>507</v>
      </c>
      <c r="H494" s="257" t="s">
        <v>508</v>
      </c>
      <c r="K494" s="257"/>
      <c r="L494" s="257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57" t="s">
        <v>510</v>
      </c>
      <c r="G495" s="257" t="s">
        <v>510</v>
      </c>
      <c r="H495" s="257" t="s">
        <v>511</v>
      </c>
      <c r="K495" s="257"/>
      <c r="L495" s="257"/>
    </row>
    <row r="496" spans="1:12" ht="12.6" customHeight="1" x14ac:dyDescent="0.25">
      <c r="A496" s="180" t="s">
        <v>512</v>
      </c>
      <c r="B496" s="236">
        <v>0</v>
      </c>
      <c r="C496" s="236">
        <f>C71</f>
        <v>0</v>
      </c>
      <c r="D496" s="236">
        <v>0</v>
      </c>
      <c r="E496" s="180">
        <f>C59</f>
        <v>0</v>
      </c>
      <c r="F496" s="259" t="str">
        <f t="shared" ref="F496:G511" si="15">IF(B496=0,"",IF(D496=0,"",B496/D496))</f>
        <v/>
      </c>
      <c r="G496" s="260" t="str">
        <f t="shared" si="15"/>
        <v/>
      </c>
      <c r="H496" s="261" t="str">
        <f>IF(B496=0,"",IF(C496=0,"",IF(D496=0,"",IF(E496=0,"",IF(G496/F496-1&lt;-0.25,G496/F496-1,IF(G496/F496-1&gt;0.25,G496/F496-1,""))))))</f>
        <v/>
      </c>
      <c r="I496" s="263"/>
      <c r="K496" s="257"/>
      <c r="L496" s="257"/>
    </row>
    <row r="497" spans="1:12" ht="12.6" customHeight="1" x14ac:dyDescent="0.25">
      <c r="A497" s="180" t="s">
        <v>513</v>
      </c>
      <c r="B497" s="236">
        <v>0</v>
      </c>
      <c r="C497" s="236">
        <f>D71</f>
        <v>0</v>
      </c>
      <c r="D497" s="236">
        <v>0</v>
      </c>
      <c r="E497" s="180">
        <f>D59</f>
        <v>0</v>
      </c>
      <c r="F497" s="259" t="str">
        <f t="shared" si="15"/>
        <v/>
      </c>
      <c r="G497" s="259" t="str">
        <f t="shared" si="15"/>
        <v/>
      </c>
      <c r="H497" s="261" t="str">
        <f t="shared" ref="H497:H550" si="16">IF(B497=0,"",IF(C497=0,"",IF(D497=0,"",IF(E497=0,"",IF(G497/F497-1&lt;-0.25,G497/F497-1,IF(G497/F497-1&gt;0.25,G497/F497-1,""))))))</f>
        <v/>
      </c>
      <c r="I497" s="263"/>
      <c r="K497" s="257"/>
      <c r="L497" s="257"/>
    </row>
    <row r="498" spans="1:12" ht="12.6" customHeight="1" x14ac:dyDescent="0.25">
      <c r="A498" s="180" t="s">
        <v>514</v>
      </c>
      <c r="B498" s="236">
        <v>2222229</v>
      </c>
      <c r="C498" s="236">
        <f>E71</f>
        <v>2456544</v>
      </c>
      <c r="D498" s="236">
        <v>829</v>
      </c>
      <c r="E498" s="180">
        <f>E59</f>
        <v>694</v>
      </c>
      <c r="F498" s="259">
        <f t="shared" si="15"/>
        <v>2680.6139927623644</v>
      </c>
      <c r="G498" s="259">
        <f t="shared" si="15"/>
        <v>3539.6887608069164</v>
      </c>
      <c r="H498" s="261">
        <f t="shared" si="16"/>
        <v>0.32047686476458259</v>
      </c>
      <c r="I498" s="263"/>
      <c r="K498" s="257"/>
      <c r="L498" s="257"/>
    </row>
    <row r="499" spans="1:12" ht="12.6" customHeight="1" x14ac:dyDescent="0.25">
      <c r="A499" s="180" t="s">
        <v>515</v>
      </c>
      <c r="B499" s="236">
        <v>0</v>
      </c>
      <c r="C499" s="236">
        <f>F71</f>
        <v>0</v>
      </c>
      <c r="D499" s="236">
        <v>0</v>
      </c>
      <c r="E499" s="180">
        <f>F59</f>
        <v>0</v>
      </c>
      <c r="F499" s="259" t="str">
        <f t="shared" si="15"/>
        <v/>
      </c>
      <c r="G499" s="259" t="str">
        <f t="shared" si="15"/>
        <v/>
      </c>
      <c r="H499" s="261" t="str">
        <f t="shared" si="16"/>
        <v/>
      </c>
      <c r="I499" s="263"/>
      <c r="K499" s="257"/>
      <c r="L499" s="257"/>
    </row>
    <row r="500" spans="1:12" ht="12.6" customHeight="1" x14ac:dyDescent="0.25">
      <c r="A500" s="180" t="s">
        <v>516</v>
      </c>
      <c r="B500" s="236">
        <v>0</v>
      </c>
      <c r="C500" s="236">
        <f>G71</f>
        <v>0</v>
      </c>
      <c r="D500" s="236">
        <v>0</v>
      </c>
      <c r="E500" s="180">
        <f>G59</f>
        <v>0</v>
      </c>
      <c r="F500" s="259" t="str">
        <f t="shared" si="15"/>
        <v/>
      </c>
      <c r="G500" s="259" t="str">
        <f t="shared" si="15"/>
        <v/>
      </c>
      <c r="H500" s="261" t="str">
        <f t="shared" si="16"/>
        <v/>
      </c>
      <c r="I500" s="263"/>
      <c r="K500" s="257"/>
      <c r="L500" s="257"/>
    </row>
    <row r="501" spans="1:12" ht="12.6" customHeight="1" x14ac:dyDescent="0.25">
      <c r="A501" s="180" t="s">
        <v>517</v>
      </c>
      <c r="B501" s="236">
        <v>0</v>
      </c>
      <c r="C501" s="236">
        <f>H71</f>
        <v>0</v>
      </c>
      <c r="D501" s="236">
        <v>0</v>
      </c>
      <c r="E501" s="180">
        <f>H59</f>
        <v>0</v>
      </c>
      <c r="F501" s="259" t="str">
        <f t="shared" si="15"/>
        <v/>
      </c>
      <c r="G501" s="259" t="str">
        <f t="shared" si="15"/>
        <v/>
      </c>
      <c r="H501" s="261" t="str">
        <f t="shared" si="16"/>
        <v/>
      </c>
      <c r="I501" s="263"/>
      <c r="K501" s="257"/>
      <c r="L501" s="257"/>
    </row>
    <row r="502" spans="1:12" ht="12.6" customHeight="1" x14ac:dyDescent="0.25">
      <c r="A502" s="180" t="s">
        <v>518</v>
      </c>
      <c r="B502" s="236">
        <v>0</v>
      </c>
      <c r="C502" s="236">
        <f>I71</f>
        <v>0</v>
      </c>
      <c r="D502" s="236">
        <v>0</v>
      </c>
      <c r="E502" s="180">
        <f>I59</f>
        <v>0</v>
      </c>
      <c r="F502" s="259" t="str">
        <f t="shared" si="15"/>
        <v/>
      </c>
      <c r="G502" s="259" t="str">
        <f t="shared" si="15"/>
        <v/>
      </c>
      <c r="H502" s="261" t="str">
        <f t="shared" si="16"/>
        <v/>
      </c>
      <c r="I502" s="263"/>
      <c r="K502" s="257"/>
      <c r="L502" s="257"/>
    </row>
    <row r="503" spans="1:12" ht="12.6" customHeight="1" x14ac:dyDescent="0.25">
      <c r="A503" s="180" t="s">
        <v>519</v>
      </c>
      <c r="B503" s="236">
        <v>0</v>
      </c>
      <c r="C503" s="236">
        <f>J71</f>
        <v>0</v>
      </c>
      <c r="D503" s="236">
        <v>0</v>
      </c>
      <c r="E503" s="180">
        <f>J59</f>
        <v>0</v>
      </c>
      <c r="F503" s="259" t="str">
        <f t="shared" si="15"/>
        <v/>
      </c>
      <c r="G503" s="259" t="str">
        <f t="shared" si="15"/>
        <v/>
      </c>
      <c r="H503" s="261" t="str">
        <f t="shared" si="16"/>
        <v/>
      </c>
      <c r="I503" s="263"/>
      <c r="K503" s="257"/>
      <c r="L503" s="257"/>
    </row>
    <row r="504" spans="1:12" ht="12.6" customHeight="1" x14ac:dyDescent="0.25">
      <c r="A504" s="180" t="s">
        <v>520</v>
      </c>
      <c r="B504" s="236">
        <v>0</v>
      </c>
      <c r="C504" s="236">
        <f>K71</f>
        <v>0</v>
      </c>
      <c r="D504" s="236">
        <v>0</v>
      </c>
      <c r="E504" s="180">
        <f>K59</f>
        <v>0</v>
      </c>
      <c r="F504" s="259" t="str">
        <f t="shared" si="15"/>
        <v/>
      </c>
      <c r="G504" s="259" t="str">
        <f t="shared" si="15"/>
        <v/>
      </c>
      <c r="H504" s="261" t="str">
        <f t="shared" si="16"/>
        <v/>
      </c>
      <c r="I504" s="263"/>
      <c r="K504" s="257"/>
      <c r="L504" s="257"/>
    </row>
    <row r="505" spans="1:12" ht="12.6" customHeight="1" x14ac:dyDescent="0.25">
      <c r="A505" s="180" t="s">
        <v>521</v>
      </c>
      <c r="B505" s="236">
        <v>0</v>
      </c>
      <c r="C505" s="236">
        <f>L71</f>
        <v>0</v>
      </c>
      <c r="D505" s="236">
        <v>0</v>
      </c>
      <c r="E505" s="180">
        <f>L59</f>
        <v>0</v>
      </c>
      <c r="F505" s="259" t="str">
        <f t="shared" si="15"/>
        <v/>
      </c>
      <c r="G505" s="259" t="str">
        <f t="shared" si="15"/>
        <v/>
      </c>
      <c r="H505" s="261" t="str">
        <f t="shared" si="16"/>
        <v/>
      </c>
      <c r="I505" s="263"/>
      <c r="K505" s="257"/>
      <c r="L505" s="257"/>
    </row>
    <row r="506" spans="1:12" ht="12.6" customHeight="1" x14ac:dyDescent="0.25">
      <c r="A506" s="180" t="s">
        <v>522</v>
      </c>
      <c r="B506" s="236">
        <v>0</v>
      </c>
      <c r="C506" s="236">
        <f>M71</f>
        <v>0</v>
      </c>
      <c r="D506" s="236">
        <v>0</v>
      </c>
      <c r="E506" s="180">
        <f>M59</f>
        <v>0</v>
      </c>
      <c r="F506" s="259" t="str">
        <f t="shared" si="15"/>
        <v/>
      </c>
      <c r="G506" s="259" t="str">
        <f t="shared" si="15"/>
        <v/>
      </c>
      <c r="H506" s="261" t="str">
        <f t="shared" si="16"/>
        <v/>
      </c>
      <c r="I506" s="263"/>
      <c r="K506" s="257"/>
      <c r="L506" s="257"/>
    </row>
    <row r="507" spans="1:12" ht="12.6" customHeight="1" x14ac:dyDescent="0.25">
      <c r="A507" s="180" t="s">
        <v>523</v>
      </c>
      <c r="B507" s="236">
        <v>0</v>
      </c>
      <c r="C507" s="236">
        <f>N71</f>
        <v>0</v>
      </c>
      <c r="D507" s="236">
        <v>0</v>
      </c>
      <c r="E507" s="180">
        <f>N59</f>
        <v>0</v>
      </c>
      <c r="F507" s="259" t="str">
        <f t="shared" si="15"/>
        <v/>
      </c>
      <c r="G507" s="259" t="str">
        <f t="shared" si="15"/>
        <v/>
      </c>
      <c r="H507" s="261" t="str">
        <f t="shared" si="16"/>
        <v/>
      </c>
      <c r="I507" s="263"/>
      <c r="K507" s="257"/>
      <c r="L507" s="257"/>
    </row>
    <row r="508" spans="1:12" ht="12.6" customHeight="1" x14ac:dyDescent="0.25">
      <c r="A508" s="180" t="s">
        <v>524</v>
      </c>
      <c r="B508" s="236">
        <v>0</v>
      </c>
      <c r="C508" s="236">
        <f>O71</f>
        <v>0</v>
      </c>
      <c r="D508" s="236">
        <v>0</v>
      </c>
      <c r="E508" s="180">
        <f>O59</f>
        <v>0</v>
      </c>
      <c r="F508" s="259" t="str">
        <f t="shared" si="15"/>
        <v/>
      </c>
      <c r="G508" s="259" t="str">
        <f t="shared" si="15"/>
        <v/>
      </c>
      <c r="H508" s="261" t="str">
        <f t="shared" si="16"/>
        <v/>
      </c>
      <c r="I508" s="263"/>
      <c r="K508" s="257"/>
      <c r="L508" s="257"/>
    </row>
    <row r="509" spans="1:12" ht="12.6" customHeight="1" x14ac:dyDescent="0.25">
      <c r="A509" s="180" t="s">
        <v>525</v>
      </c>
      <c r="B509" s="236">
        <v>2582873</v>
      </c>
      <c r="C509" s="236">
        <f>P71</f>
        <v>2698764</v>
      </c>
      <c r="D509" s="236">
        <v>120720</v>
      </c>
      <c r="E509" s="180">
        <f>P59</f>
        <v>0</v>
      </c>
      <c r="F509" s="259">
        <f t="shared" si="15"/>
        <v>21.395568257123923</v>
      </c>
      <c r="G509" s="259" t="str">
        <f t="shared" si="15"/>
        <v/>
      </c>
      <c r="H509" s="261" t="str">
        <f t="shared" si="16"/>
        <v/>
      </c>
      <c r="I509" s="263"/>
      <c r="K509" s="257"/>
      <c r="L509" s="257"/>
    </row>
    <row r="510" spans="1:12" ht="12.6" customHeight="1" x14ac:dyDescent="0.25">
      <c r="A510" s="180" t="s">
        <v>526</v>
      </c>
      <c r="B510" s="236">
        <v>347172</v>
      </c>
      <c r="C510" s="236">
        <f>Q71</f>
        <v>258394</v>
      </c>
      <c r="D510" s="236">
        <v>37740</v>
      </c>
      <c r="E510" s="180">
        <f>Q59</f>
        <v>0</v>
      </c>
      <c r="F510" s="259">
        <f t="shared" si="15"/>
        <v>9.199046104928458</v>
      </c>
      <c r="G510" s="259" t="str">
        <f t="shared" si="15"/>
        <v/>
      </c>
      <c r="H510" s="261" t="str">
        <f t="shared" si="16"/>
        <v/>
      </c>
      <c r="I510" s="263"/>
      <c r="K510" s="257"/>
      <c r="L510" s="257"/>
    </row>
    <row r="511" spans="1:12" ht="12.6" customHeight="1" x14ac:dyDescent="0.25">
      <c r="A511" s="180" t="s">
        <v>527</v>
      </c>
      <c r="B511" s="236">
        <v>1834867</v>
      </c>
      <c r="C511" s="236">
        <f>R71</f>
        <v>2391009</v>
      </c>
      <c r="D511" s="236">
        <v>120480</v>
      </c>
      <c r="E511" s="180">
        <f>R59</f>
        <v>0</v>
      </c>
      <c r="F511" s="259">
        <f t="shared" si="15"/>
        <v>15.229639774236388</v>
      </c>
      <c r="G511" s="259" t="str">
        <f t="shared" si="15"/>
        <v/>
      </c>
      <c r="H511" s="261" t="str">
        <f t="shared" si="16"/>
        <v/>
      </c>
      <c r="I511" s="263"/>
      <c r="K511" s="257"/>
      <c r="L511" s="257"/>
    </row>
    <row r="512" spans="1:12" ht="12.6" customHeight="1" x14ac:dyDescent="0.25">
      <c r="A512" s="180" t="s">
        <v>528</v>
      </c>
      <c r="B512" s="236">
        <v>0</v>
      </c>
      <c r="C512" s="236">
        <f>S71</f>
        <v>145239</v>
      </c>
      <c r="D512" s="181" t="s">
        <v>529</v>
      </c>
      <c r="E512" s="181" t="s">
        <v>529</v>
      </c>
      <c r="F512" s="259" t="str">
        <f t="shared" ref="F512:G527" si="17">IF(B512=0,"",IF(D512=0,"",B512/D512))</f>
        <v/>
      </c>
      <c r="G512" s="259" t="str">
        <f t="shared" si="17"/>
        <v/>
      </c>
      <c r="H512" s="261" t="str">
        <f t="shared" si="16"/>
        <v/>
      </c>
      <c r="I512" s="263"/>
      <c r="K512" s="257"/>
      <c r="L512" s="257"/>
    </row>
    <row r="513" spans="1:12" ht="12.6" customHeight="1" x14ac:dyDescent="0.25">
      <c r="A513" s="180" t="s">
        <v>982</v>
      </c>
      <c r="B513" s="236">
        <v>0</v>
      </c>
      <c r="C513" s="236">
        <f>T71</f>
        <v>0</v>
      </c>
      <c r="D513" s="181" t="s">
        <v>529</v>
      </c>
      <c r="E513" s="181" t="s">
        <v>529</v>
      </c>
      <c r="F513" s="259" t="str">
        <f t="shared" si="17"/>
        <v/>
      </c>
      <c r="G513" s="259" t="str">
        <f t="shared" si="17"/>
        <v/>
      </c>
      <c r="H513" s="261" t="str">
        <f t="shared" si="16"/>
        <v/>
      </c>
      <c r="I513" s="263"/>
      <c r="K513" s="257"/>
      <c r="L513" s="257"/>
    </row>
    <row r="514" spans="1:12" ht="12.6" customHeight="1" x14ac:dyDescent="0.25">
      <c r="A514" s="180" t="s">
        <v>530</v>
      </c>
      <c r="B514" s="236">
        <v>199450</v>
      </c>
      <c r="C514" s="236">
        <f>U71</f>
        <v>173839</v>
      </c>
      <c r="D514" s="236">
        <v>2140</v>
      </c>
      <c r="E514" s="180">
        <f>U59</f>
        <v>0</v>
      </c>
      <c r="F514" s="259">
        <f t="shared" si="17"/>
        <v>93.200934579439249</v>
      </c>
      <c r="G514" s="259" t="str">
        <f t="shared" si="17"/>
        <v/>
      </c>
      <c r="H514" s="261" t="str">
        <f t="shared" si="16"/>
        <v/>
      </c>
      <c r="I514" s="263"/>
      <c r="K514" s="257"/>
      <c r="L514" s="257"/>
    </row>
    <row r="515" spans="1:12" ht="12.6" customHeight="1" x14ac:dyDescent="0.25">
      <c r="A515" s="180" t="s">
        <v>531</v>
      </c>
      <c r="B515" s="236">
        <v>0</v>
      </c>
      <c r="C515" s="236">
        <f>V71</f>
        <v>0</v>
      </c>
      <c r="D515" s="236">
        <v>0</v>
      </c>
      <c r="E515" s="180">
        <f>V59</f>
        <v>0</v>
      </c>
      <c r="F515" s="259" t="str">
        <f t="shared" si="17"/>
        <v/>
      </c>
      <c r="G515" s="259" t="str">
        <f t="shared" si="17"/>
        <v/>
      </c>
      <c r="H515" s="261" t="str">
        <f t="shared" si="16"/>
        <v/>
      </c>
      <c r="I515" s="263"/>
      <c r="K515" s="257"/>
      <c r="L515" s="257"/>
    </row>
    <row r="516" spans="1:12" ht="12.6" customHeight="1" x14ac:dyDescent="0.25">
      <c r="A516" s="180" t="s">
        <v>532</v>
      </c>
      <c r="B516" s="236">
        <v>0</v>
      </c>
      <c r="C516" s="236">
        <f>W71</f>
        <v>0</v>
      </c>
      <c r="D516" s="236">
        <v>0</v>
      </c>
      <c r="E516" s="180">
        <f>W59</f>
        <v>0</v>
      </c>
      <c r="F516" s="259" t="str">
        <f t="shared" si="17"/>
        <v/>
      </c>
      <c r="G516" s="259" t="str">
        <f t="shared" si="17"/>
        <v/>
      </c>
      <c r="H516" s="261" t="str">
        <f t="shared" si="16"/>
        <v/>
      </c>
      <c r="I516" s="263"/>
      <c r="K516" s="257"/>
      <c r="L516" s="257"/>
    </row>
    <row r="517" spans="1:12" ht="12.6" customHeight="1" x14ac:dyDescent="0.25">
      <c r="A517" s="180" t="s">
        <v>533</v>
      </c>
      <c r="B517" s="236">
        <v>0</v>
      </c>
      <c r="C517" s="236">
        <f>X71</f>
        <v>0</v>
      </c>
      <c r="D517" s="236">
        <v>0</v>
      </c>
      <c r="E517" s="180">
        <f>X59</f>
        <v>0</v>
      </c>
      <c r="F517" s="259" t="str">
        <f t="shared" si="17"/>
        <v/>
      </c>
      <c r="G517" s="259" t="str">
        <f t="shared" si="17"/>
        <v/>
      </c>
      <c r="H517" s="261" t="str">
        <f t="shared" si="16"/>
        <v/>
      </c>
      <c r="I517" s="263"/>
      <c r="K517" s="257"/>
      <c r="L517" s="257"/>
    </row>
    <row r="518" spans="1:12" ht="12.6" customHeight="1" x14ac:dyDescent="0.25">
      <c r="A518" s="180" t="s">
        <v>534</v>
      </c>
      <c r="B518" s="236">
        <v>443982</v>
      </c>
      <c r="C518" s="236">
        <f>Y71</f>
        <v>447573</v>
      </c>
      <c r="D518" s="236">
        <v>8807</v>
      </c>
      <c r="E518" s="180">
        <f>Y59</f>
        <v>0</v>
      </c>
      <c r="F518" s="259">
        <f t="shared" si="17"/>
        <v>50.412399227886908</v>
      </c>
      <c r="G518" s="259" t="str">
        <f t="shared" si="17"/>
        <v/>
      </c>
      <c r="H518" s="261" t="str">
        <f t="shared" si="16"/>
        <v/>
      </c>
      <c r="I518" s="263"/>
      <c r="K518" s="257"/>
      <c r="L518" s="257"/>
    </row>
    <row r="519" spans="1:12" ht="12.6" customHeight="1" x14ac:dyDescent="0.25">
      <c r="A519" s="180" t="s">
        <v>535</v>
      </c>
      <c r="B519" s="236">
        <v>0</v>
      </c>
      <c r="C519" s="236">
        <f>Z71</f>
        <v>0</v>
      </c>
      <c r="D519" s="236">
        <v>0</v>
      </c>
      <c r="E519" s="180">
        <f>Z59</f>
        <v>0</v>
      </c>
      <c r="F519" s="259" t="str">
        <f t="shared" si="17"/>
        <v/>
      </c>
      <c r="G519" s="259" t="str">
        <f t="shared" si="17"/>
        <v/>
      </c>
      <c r="H519" s="261" t="str">
        <f t="shared" si="16"/>
        <v/>
      </c>
      <c r="I519" s="263"/>
      <c r="K519" s="257"/>
      <c r="L519" s="257"/>
    </row>
    <row r="520" spans="1:12" ht="12.6" customHeight="1" x14ac:dyDescent="0.25">
      <c r="A520" s="180" t="s">
        <v>536</v>
      </c>
      <c r="B520" s="236">
        <v>0</v>
      </c>
      <c r="C520" s="236">
        <f>AA71</f>
        <v>0</v>
      </c>
      <c r="D520" s="236">
        <v>0</v>
      </c>
      <c r="E520" s="180">
        <f>AA59</f>
        <v>0</v>
      </c>
      <c r="F520" s="259" t="str">
        <f t="shared" si="17"/>
        <v/>
      </c>
      <c r="G520" s="259" t="str">
        <f t="shared" si="17"/>
        <v/>
      </c>
      <c r="H520" s="261" t="str">
        <f t="shared" si="16"/>
        <v/>
      </c>
      <c r="I520" s="263"/>
      <c r="K520" s="257"/>
      <c r="L520" s="257"/>
    </row>
    <row r="521" spans="1:12" ht="12.6" customHeight="1" x14ac:dyDescent="0.25">
      <c r="A521" s="180" t="s">
        <v>537</v>
      </c>
      <c r="B521" s="236">
        <v>337724</v>
      </c>
      <c r="C521" s="236">
        <f>AB71</f>
        <v>352622</v>
      </c>
      <c r="D521" s="181" t="s">
        <v>529</v>
      </c>
      <c r="E521" s="181" t="s">
        <v>529</v>
      </c>
      <c r="F521" s="259" t="str">
        <f t="shared" si="17"/>
        <v/>
      </c>
      <c r="G521" s="259" t="str">
        <f t="shared" si="17"/>
        <v/>
      </c>
      <c r="H521" s="261" t="str">
        <f t="shared" si="16"/>
        <v/>
      </c>
      <c r="I521" s="263"/>
      <c r="K521" s="257"/>
      <c r="L521" s="257"/>
    </row>
    <row r="522" spans="1:12" ht="12.6" customHeight="1" x14ac:dyDescent="0.25">
      <c r="A522" s="180" t="s">
        <v>538</v>
      </c>
      <c r="B522" s="236">
        <v>395771</v>
      </c>
      <c r="C522" s="236">
        <f>AC71</f>
        <v>377011</v>
      </c>
      <c r="D522" s="236">
        <v>1559</v>
      </c>
      <c r="E522" s="180">
        <f>AC59</f>
        <v>0</v>
      </c>
      <c r="F522" s="259">
        <f t="shared" si="17"/>
        <v>253.86209108402824</v>
      </c>
      <c r="G522" s="259" t="str">
        <f t="shared" si="17"/>
        <v/>
      </c>
      <c r="H522" s="261" t="str">
        <f t="shared" si="16"/>
        <v/>
      </c>
      <c r="I522" s="263"/>
      <c r="K522" s="257"/>
      <c r="L522" s="257"/>
    </row>
    <row r="523" spans="1:12" ht="12.6" customHeight="1" x14ac:dyDescent="0.25">
      <c r="A523" s="180" t="s">
        <v>539</v>
      </c>
      <c r="B523" s="236">
        <v>0</v>
      </c>
      <c r="C523" s="236">
        <f>AD71</f>
        <v>0</v>
      </c>
      <c r="D523" s="236">
        <v>0</v>
      </c>
      <c r="E523" s="180">
        <f>AD59</f>
        <v>0</v>
      </c>
      <c r="F523" s="259" t="str">
        <f t="shared" si="17"/>
        <v/>
      </c>
      <c r="G523" s="259" t="str">
        <f t="shared" si="17"/>
        <v/>
      </c>
      <c r="H523" s="261" t="str">
        <f t="shared" si="16"/>
        <v/>
      </c>
      <c r="I523" s="263"/>
      <c r="K523" s="257"/>
      <c r="L523" s="257"/>
    </row>
    <row r="524" spans="1:12" ht="12.6" customHeight="1" x14ac:dyDescent="0.25">
      <c r="A524" s="180" t="s">
        <v>540</v>
      </c>
      <c r="B524" s="236">
        <v>528785</v>
      </c>
      <c r="C524" s="236">
        <f>AE71</f>
        <v>548808</v>
      </c>
      <c r="D524" s="236">
        <v>6480</v>
      </c>
      <c r="E524" s="180">
        <f>AE59</f>
        <v>0</v>
      </c>
      <c r="F524" s="259">
        <f t="shared" si="17"/>
        <v>81.602623456790127</v>
      </c>
      <c r="G524" s="259" t="str">
        <f t="shared" si="17"/>
        <v/>
      </c>
      <c r="H524" s="261" t="str">
        <f t="shared" si="16"/>
        <v/>
      </c>
      <c r="I524" s="263"/>
      <c r="K524" s="257"/>
      <c r="L524" s="257"/>
    </row>
    <row r="525" spans="1:12" ht="12.6" customHeight="1" x14ac:dyDescent="0.25">
      <c r="A525" s="180" t="s">
        <v>541</v>
      </c>
      <c r="B525" s="236">
        <v>0</v>
      </c>
      <c r="C525" s="236">
        <f>AF71</f>
        <v>0</v>
      </c>
      <c r="D525" s="236">
        <v>0</v>
      </c>
      <c r="E525" s="180">
        <f>AF59</f>
        <v>0</v>
      </c>
      <c r="F525" s="259" t="str">
        <f t="shared" si="17"/>
        <v/>
      </c>
      <c r="G525" s="259" t="str">
        <f t="shared" si="17"/>
        <v/>
      </c>
      <c r="H525" s="261" t="str">
        <f t="shared" si="16"/>
        <v/>
      </c>
      <c r="I525" s="263"/>
      <c r="K525" s="257"/>
      <c r="L525" s="257"/>
    </row>
    <row r="526" spans="1:12" ht="12.6" customHeight="1" x14ac:dyDescent="0.25">
      <c r="A526" s="180" t="s">
        <v>542</v>
      </c>
      <c r="B526" s="236">
        <v>0</v>
      </c>
      <c r="C526" s="236">
        <f>AG71</f>
        <v>0</v>
      </c>
      <c r="D526" s="236">
        <v>0</v>
      </c>
      <c r="E526" s="180">
        <f>AG59</f>
        <v>0</v>
      </c>
      <c r="F526" s="259" t="str">
        <f t="shared" si="17"/>
        <v/>
      </c>
      <c r="G526" s="259" t="str">
        <f t="shared" si="17"/>
        <v/>
      </c>
      <c r="H526" s="261" t="str">
        <f t="shared" si="16"/>
        <v/>
      </c>
      <c r="I526" s="263"/>
      <c r="K526" s="257"/>
      <c r="L526" s="257"/>
    </row>
    <row r="527" spans="1:12" ht="12.6" customHeight="1" x14ac:dyDescent="0.25">
      <c r="A527" s="180" t="s">
        <v>543</v>
      </c>
      <c r="B527" s="236">
        <v>0</v>
      </c>
      <c r="C527" s="236">
        <f>AH71</f>
        <v>0</v>
      </c>
      <c r="D527" s="236">
        <v>0</v>
      </c>
      <c r="E527" s="180">
        <f>AH59</f>
        <v>0</v>
      </c>
      <c r="F527" s="259" t="str">
        <f t="shared" si="17"/>
        <v/>
      </c>
      <c r="G527" s="259" t="str">
        <f t="shared" si="17"/>
        <v/>
      </c>
      <c r="H527" s="261" t="str">
        <f t="shared" si="16"/>
        <v/>
      </c>
      <c r="I527" s="263"/>
      <c r="K527" s="257"/>
      <c r="L527" s="257"/>
    </row>
    <row r="528" spans="1:12" ht="12.6" customHeight="1" x14ac:dyDescent="0.25">
      <c r="A528" s="180" t="s">
        <v>544</v>
      </c>
      <c r="B528" s="236">
        <v>0</v>
      </c>
      <c r="C528" s="236">
        <f>AI71</f>
        <v>0</v>
      </c>
      <c r="D528" s="236">
        <v>0</v>
      </c>
      <c r="E528" s="180">
        <f>AI59</f>
        <v>0</v>
      </c>
      <c r="F528" s="259" t="str">
        <f t="shared" ref="F528:G540" si="18">IF(B528=0,"",IF(D528=0,"",B528/D528))</f>
        <v/>
      </c>
      <c r="G528" s="259" t="str">
        <f t="shared" si="18"/>
        <v/>
      </c>
      <c r="H528" s="261" t="str">
        <f t="shared" si="16"/>
        <v/>
      </c>
      <c r="I528" s="263"/>
      <c r="K528" s="257"/>
      <c r="L528" s="257"/>
    </row>
    <row r="529" spans="1:12" ht="12.6" customHeight="1" x14ac:dyDescent="0.25">
      <c r="A529" s="180" t="s">
        <v>545</v>
      </c>
      <c r="B529" s="236">
        <v>846470</v>
      </c>
      <c r="C529" s="236">
        <f>AJ71</f>
        <v>903792</v>
      </c>
      <c r="D529" s="236">
        <v>9685</v>
      </c>
      <c r="E529" s="180">
        <f>AJ59</f>
        <v>0</v>
      </c>
      <c r="F529" s="259">
        <f t="shared" si="18"/>
        <v>87.40010325245224</v>
      </c>
      <c r="G529" s="259" t="str">
        <f t="shared" si="18"/>
        <v/>
      </c>
      <c r="H529" s="261" t="str">
        <f t="shared" si="16"/>
        <v/>
      </c>
      <c r="I529" s="263"/>
      <c r="K529" s="257"/>
      <c r="L529" s="257"/>
    </row>
    <row r="530" spans="1:12" ht="12.6" customHeight="1" x14ac:dyDescent="0.25">
      <c r="A530" s="180" t="s">
        <v>546</v>
      </c>
      <c r="B530" s="236">
        <v>438945</v>
      </c>
      <c r="C530" s="236">
        <f>AK71</f>
        <v>919548</v>
      </c>
      <c r="D530" s="236">
        <v>1030</v>
      </c>
      <c r="E530" s="180">
        <f>AK59</f>
        <v>0</v>
      </c>
      <c r="F530" s="259">
        <f t="shared" si="18"/>
        <v>426.16019417475729</v>
      </c>
      <c r="G530" s="259" t="str">
        <f t="shared" si="18"/>
        <v/>
      </c>
      <c r="H530" s="261" t="str">
        <f t="shared" si="16"/>
        <v/>
      </c>
      <c r="I530" s="263"/>
      <c r="K530" s="257"/>
      <c r="L530" s="257"/>
    </row>
    <row r="531" spans="1:12" ht="12.6" customHeight="1" x14ac:dyDescent="0.25">
      <c r="A531" s="180" t="s">
        <v>547</v>
      </c>
      <c r="B531" s="236">
        <v>0</v>
      </c>
      <c r="C531" s="236">
        <f>AL71</f>
        <v>0</v>
      </c>
      <c r="D531" s="236">
        <v>0</v>
      </c>
      <c r="E531" s="180">
        <f>AL59</f>
        <v>0</v>
      </c>
      <c r="F531" s="259" t="str">
        <f t="shared" si="18"/>
        <v/>
      </c>
      <c r="G531" s="259" t="str">
        <f t="shared" si="18"/>
        <v/>
      </c>
      <c r="H531" s="261" t="str">
        <f t="shared" si="16"/>
        <v/>
      </c>
      <c r="I531" s="263"/>
      <c r="K531" s="257"/>
      <c r="L531" s="257"/>
    </row>
    <row r="532" spans="1:12" ht="12.6" customHeight="1" x14ac:dyDescent="0.25">
      <c r="A532" s="180" t="s">
        <v>548</v>
      </c>
      <c r="B532" s="236">
        <v>0</v>
      </c>
      <c r="C532" s="236">
        <f>AM71</f>
        <v>0</v>
      </c>
      <c r="D532" s="236">
        <v>0</v>
      </c>
      <c r="E532" s="180">
        <f>AM59</f>
        <v>0</v>
      </c>
      <c r="F532" s="259" t="str">
        <f t="shared" si="18"/>
        <v/>
      </c>
      <c r="G532" s="259" t="str">
        <f t="shared" si="18"/>
        <v/>
      </c>
      <c r="H532" s="261" t="str">
        <f t="shared" si="16"/>
        <v/>
      </c>
      <c r="I532" s="263"/>
      <c r="K532" s="257"/>
      <c r="L532" s="257"/>
    </row>
    <row r="533" spans="1:12" ht="12.6" customHeight="1" x14ac:dyDescent="0.25">
      <c r="A533" s="180" t="s">
        <v>983</v>
      </c>
      <c r="B533" s="236">
        <v>0</v>
      </c>
      <c r="C533" s="236">
        <f>AN71</f>
        <v>0</v>
      </c>
      <c r="D533" s="236">
        <v>0</v>
      </c>
      <c r="E533" s="180">
        <f>AN59</f>
        <v>0</v>
      </c>
      <c r="F533" s="259" t="str">
        <f t="shared" si="18"/>
        <v/>
      </c>
      <c r="G533" s="259" t="str">
        <f t="shared" si="18"/>
        <v/>
      </c>
      <c r="H533" s="261" t="str">
        <f t="shared" si="16"/>
        <v/>
      </c>
      <c r="I533" s="263"/>
      <c r="K533" s="257"/>
      <c r="L533" s="257"/>
    </row>
    <row r="534" spans="1:12" ht="12.6" customHeight="1" x14ac:dyDescent="0.25">
      <c r="A534" s="180" t="s">
        <v>549</v>
      </c>
      <c r="B534" s="236">
        <v>0</v>
      </c>
      <c r="C534" s="236">
        <f>AO71</f>
        <v>0</v>
      </c>
      <c r="D534" s="236">
        <v>0</v>
      </c>
      <c r="E534" s="180">
        <f>AO59</f>
        <v>0</v>
      </c>
      <c r="F534" s="259" t="str">
        <f t="shared" si="18"/>
        <v/>
      </c>
      <c r="G534" s="259" t="str">
        <f t="shared" si="18"/>
        <v/>
      </c>
      <c r="H534" s="261" t="str">
        <f t="shared" si="16"/>
        <v/>
      </c>
      <c r="I534" s="263"/>
      <c r="K534" s="257"/>
      <c r="L534" s="257"/>
    </row>
    <row r="535" spans="1:12" ht="12.6" customHeight="1" x14ac:dyDescent="0.25">
      <c r="A535" s="180" t="s">
        <v>550</v>
      </c>
      <c r="B535" s="236">
        <v>0</v>
      </c>
      <c r="C535" s="236">
        <f>AP71</f>
        <v>0</v>
      </c>
      <c r="D535" s="236">
        <v>0</v>
      </c>
      <c r="E535" s="180">
        <f>AP59</f>
        <v>0</v>
      </c>
      <c r="F535" s="259" t="str">
        <f t="shared" si="18"/>
        <v/>
      </c>
      <c r="G535" s="259" t="str">
        <f t="shared" si="18"/>
        <v/>
      </c>
      <c r="H535" s="261" t="str">
        <f t="shared" si="16"/>
        <v/>
      </c>
      <c r="I535" s="263"/>
      <c r="K535" s="257"/>
      <c r="L535" s="257"/>
    </row>
    <row r="536" spans="1:12" ht="12.6" customHeight="1" x14ac:dyDescent="0.25">
      <c r="A536" s="180" t="s">
        <v>551</v>
      </c>
      <c r="B536" s="236">
        <v>0</v>
      </c>
      <c r="C536" s="236">
        <f>AQ71</f>
        <v>0</v>
      </c>
      <c r="D536" s="236">
        <v>0</v>
      </c>
      <c r="E536" s="180">
        <f>AQ59</f>
        <v>0</v>
      </c>
      <c r="F536" s="259" t="str">
        <f t="shared" si="18"/>
        <v/>
      </c>
      <c r="G536" s="259" t="str">
        <f t="shared" si="18"/>
        <v/>
      </c>
      <c r="H536" s="261" t="str">
        <f t="shared" si="16"/>
        <v/>
      </c>
      <c r="I536" s="263"/>
      <c r="K536" s="257"/>
      <c r="L536" s="257"/>
    </row>
    <row r="537" spans="1:12" ht="12.6" customHeight="1" x14ac:dyDescent="0.25">
      <c r="A537" s="180" t="s">
        <v>552</v>
      </c>
      <c r="B537" s="236">
        <v>0</v>
      </c>
      <c r="C537" s="236">
        <f>AR71</f>
        <v>0</v>
      </c>
      <c r="D537" s="236">
        <v>0</v>
      </c>
      <c r="E537" s="180">
        <f>AR59</f>
        <v>0</v>
      </c>
      <c r="F537" s="259" t="str">
        <f t="shared" si="18"/>
        <v/>
      </c>
      <c r="G537" s="259" t="str">
        <f t="shared" si="18"/>
        <v/>
      </c>
      <c r="H537" s="261" t="str">
        <f t="shared" si="16"/>
        <v/>
      </c>
      <c r="I537" s="263"/>
      <c r="K537" s="257"/>
      <c r="L537" s="257"/>
    </row>
    <row r="538" spans="1:12" ht="12.6" customHeight="1" x14ac:dyDescent="0.25">
      <c r="A538" s="180" t="s">
        <v>553</v>
      </c>
      <c r="B538" s="236">
        <v>0</v>
      </c>
      <c r="C538" s="236">
        <f>AS71</f>
        <v>0</v>
      </c>
      <c r="D538" s="236">
        <v>0</v>
      </c>
      <c r="E538" s="180">
        <f>AS59</f>
        <v>0</v>
      </c>
      <c r="F538" s="259" t="str">
        <f t="shared" si="18"/>
        <v/>
      </c>
      <c r="G538" s="259" t="str">
        <f t="shared" si="18"/>
        <v/>
      </c>
      <c r="H538" s="261" t="str">
        <f t="shared" si="16"/>
        <v/>
      </c>
      <c r="I538" s="263"/>
      <c r="K538" s="257"/>
      <c r="L538" s="257"/>
    </row>
    <row r="539" spans="1:12" ht="12.6" customHeight="1" x14ac:dyDescent="0.25">
      <c r="A539" s="180" t="s">
        <v>554</v>
      </c>
      <c r="B539" s="236">
        <v>0</v>
      </c>
      <c r="C539" s="236">
        <f>AT71</f>
        <v>0</v>
      </c>
      <c r="D539" s="236">
        <v>0</v>
      </c>
      <c r="E539" s="180">
        <f>AT59</f>
        <v>0</v>
      </c>
      <c r="F539" s="259" t="str">
        <f t="shared" si="18"/>
        <v/>
      </c>
      <c r="G539" s="259" t="str">
        <f t="shared" si="18"/>
        <v/>
      </c>
      <c r="H539" s="261" t="str">
        <f t="shared" si="16"/>
        <v/>
      </c>
      <c r="I539" s="263"/>
      <c r="K539" s="257"/>
      <c r="L539" s="257"/>
    </row>
    <row r="540" spans="1:12" ht="12.6" customHeight="1" x14ac:dyDescent="0.25">
      <c r="A540" s="180" t="s">
        <v>555</v>
      </c>
      <c r="B540" s="236">
        <v>0</v>
      </c>
      <c r="C540" s="236">
        <f>AU71</f>
        <v>0</v>
      </c>
      <c r="D540" s="236">
        <v>0</v>
      </c>
      <c r="E540" s="180">
        <f>AU59</f>
        <v>0</v>
      </c>
      <c r="F540" s="259" t="str">
        <f t="shared" si="18"/>
        <v/>
      </c>
      <c r="G540" s="259" t="str">
        <f t="shared" si="18"/>
        <v/>
      </c>
      <c r="H540" s="261" t="str">
        <f t="shared" si="16"/>
        <v/>
      </c>
      <c r="I540" s="263"/>
      <c r="K540" s="257"/>
      <c r="L540" s="257"/>
    </row>
    <row r="541" spans="1:12" ht="12.6" customHeight="1" x14ac:dyDescent="0.25">
      <c r="A541" s="180" t="s">
        <v>556</v>
      </c>
      <c r="B541" s="236">
        <v>23906</v>
      </c>
      <c r="C541" s="236">
        <f>AV71</f>
        <v>0</v>
      </c>
      <c r="D541" s="181" t="s">
        <v>529</v>
      </c>
      <c r="E541" s="181" t="s">
        <v>529</v>
      </c>
      <c r="F541" s="259"/>
      <c r="G541" s="259"/>
      <c r="H541" s="261"/>
      <c r="I541" s="263"/>
      <c r="K541" s="257"/>
      <c r="L541" s="257"/>
    </row>
    <row r="542" spans="1:12" ht="12.6" customHeight="1" x14ac:dyDescent="0.25">
      <c r="A542" s="180" t="s">
        <v>984</v>
      </c>
      <c r="B542" s="236">
        <v>0</v>
      </c>
      <c r="C542" s="236">
        <f>AW71</f>
        <v>0</v>
      </c>
      <c r="D542" s="181" t="s">
        <v>529</v>
      </c>
      <c r="E542" s="181" t="s">
        <v>529</v>
      </c>
      <c r="F542" s="259"/>
      <c r="G542" s="259"/>
      <c r="H542" s="261"/>
      <c r="I542" s="263"/>
      <c r="K542" s="257"/>
      <c r="L542" s="257"/>
    </row>
    <row r="543" spans="1:12" ht="12.6" customHeight="1" x14ac:dyDescent="0.25">
      <c r="A543" s="180" t="s">
        <v>557</v>
      </c>
      <c r="B543" s="236">
        <v>0</v>
      </c>
      <c r="C543" s="236">
        <f>AX71</f>
        <v>0</v>
      </c>
      <c r="D543" s="181" t="s">
        <v>529</v>
      </c>
      <c r="E543" s="181" t="s">
        <v>529</v>
      </c>
      <c r="F543" s="259"/>
      <c r="G543" s="259"/>
      <c r="H543" s="261"/>
      <c r="I543" s="263"/>
      <c r="K543" s="257"/>
      <c r="L543" s="257"/>
    </row>
    <row r="544" spans="1:12" ht="12.6" customHeight="1" x14ac:dyDescent="0.25">
      <c r="A544" s="180" t="s">
        <v>558</v>
      </c>
      <c r="B544" s="236">
        <v>521060</v>
      </c>
      <c r="C544" s="236">
        <f>AY71</f>
        <v>51761</v>
      </c>
      <c r="D544" s="236">
        <v>5173</v>
      </c>
      <c r="E544" s="180">
        <f>AY59</f>
        <v>4740</v>
      </c>
      <c r="F544" s="259">
        <f t="shared" ref="F544:G550" si="19">IF(B544=0,"",IF(D544=0,"",B544/D544))</f>
        <v>100.72685095689155</v>
      </c>
      <c r="G544" s="259">
        <f t="shared" si="19"/>
        <v>10.920042194092828</v>
      </c>
      <c r="H544" s="261">
        <f t="shared" si="16"/>
        <v>-0.89158757480896211</v>
      </c>
      <c r="I544" s="263"/>
      <c r="K544" s="257"/>
      <c r="L544" s="257"/>
    </row>
    <row r="545" spans="1:13" ht="12.6" customHeight="1" x14ac:dyDescent="0.25">
      <c r="A545" s="180" t="s">
        <v>559</v>
      </c>
      <c r="B545" s="236">
        <v>15658</v>
      </c>
      <c r="C545" s="236">
        <f>AZ71</f>
        <v>558640</v>
      </c>
      <c r="D545" s="236">
        <v>26612</v>
      </c>
      <c r="E545" s="180">
        <f>AZ59</f>
        <v>19660</v>
      </c>
      <c r="F545" s="259">
        <f t="shared" si="19"/>
        <v>0.58838118142191498</v>
      </c>
      <c r="G545" s="259">
        <f t="shared" si="19"/>
        <v>28.415055951169887</v>
      </c>
      <c r="H545" s="261">
        <f t="shared" si="16"/>
        <v>47.293617893251565</v>
      </c>
      <c r="I545" s="263"/>
      <c r="K545" s="257"/>
      <c r="L545" s="257"/>
    </row>
    <row r="546" spans="1:13" ht="12.6" customHeight="1" x14ac:dyDescent="0.25">
      <c r="A546" s="180" t="s">
        <v>560</v>
      </c>
      <c r="B546" s="236">
        <v>96874</v>
      </c>
      <c r="C546" s="236">
        <f>BA71</f>
        <v>85448</v>
      </c>
      <c r="D546" s="236">
        <v>0</v>
      </c>
      <c r="E546" s="180">
        <f>BA59</f>
        <v>0</v>
      </c>
      <c r="F546" s="259" t="str">
        <f t="shared" si="19"/>
        <v/>
      </c>
      <c r="G546" s="259" t="str">
        <f t="shared" si="19"/>
        <v/>
      </c>
      <c r="H546" s="261" t="str">
        <f t="shared" si="16"/>
        <v/>
      </c>
      <c r="I546" s="263"/>
      <c r="K546" s="257"/>
      <c r="L546" s="257"/>
    </row>
    <row r="547" spans="1:13" ht="12.6" customHeight="1" x14ac:dyDescent="0.25">
      <c r="A547" s="180" t="s">
        <v>561</v>
      </c>
      <c r="B547" s="236">
        <v>711105</v>
      </c>
      <c r="C547" s="236">
        <f>BB71</f>
        <v>738312</v>
      </c>
      <c r="D547" s="181" t="s">
        <v>529</v>
      </c>
      <c r="E547" s="181" t="s">
        <v>529</v>
      </c>
      <c r="F547" s="259"/>
      <c r="G547" s="259"/>
      <c r="H547" s="261"/>
      <c r="I547" s="263"/>
      <c r="K547" s="257"/>
      <c r="L547" s="257"/>
    </row>
    <row r="548" spans="1:13" ht="12.6" customHeight="1" x14ac:dyDescent="0.25">
      <c r="A548" s="180" t="s">
        <v>562</v>
      </c>
      <c r="B548" s="236">
        <v>0</v>
      </c>
      <c r="C548" s="236">
        <f>BC71</f>
        <v>0</v>
      </c>
      <c r="D548" s="181" t="s">
        <v>529</v>
      </c>
      <c r="E548" s="181" t="s">
        <v>529</v>
      </c>
      <c r="F548" s="259"/>
      <c r="G548" s="259"/>
      <c r="H548" s="261"/>
      <c r="I548" s="263"/>
      <c r="K548" s="257"/>
      <c r="L548" s="257"/>
    </row>
    <row r="549" spans="1:13" ht="12.6" customHeight="1" x14ac:dyDescent="0.25">
      <c r="A549" s="180" t="s">
        <v>563</v>
      </c>
      <c r="B549" s="236">
        <v>148446</v>
      </c>
      <c r="C549" s="236">
        <f>BD71</f>
        <v>2879</v>
      </c>
      <c r="D549" s="181" t="s">
        <v>529</v>
      </c>
      <c r="E549" s="181" t="s">
        <v>529</v>
      </c>
      <c r="F549" s="259"/>
      <c r="G549" s="259"/>
      <c r="H549" s="261"/>
      <c r="I549" s="263"/>
      <c r="K549" s="257"/>
      <c r="L549" s="257"/>
    </row>
    <row r="550" spans="1:13" ht="12.6" customHeight="1" x14ac:dyDescent="0.25">
      <c r="A550" s="180" t="s">
        <v>564</v>
      </c>
      <c r="B550" s="236">
        <v>0</v>
      </c>
      <c r="C550" s="236">
        <f>BE71</f>
        <v>98610</v>
      </c>
      <c r="D550" s="236">
        <v>88741</v>
      </c>
      <c r="E550" s="180">
        <f>BE59</f>
        <v>88741</v>
      </c>
      <c r="F550" s="259" t="str">
        <f t="shared" si="19"/>
        <v/>
      </c>
      <c r="G550" s="259">
        <f t="shared" si="19"/>
        <v>1.1112112777633789</v>
      </c>
      <c r="H550" s="261" t="str">
        <f t="shared" si="16"/>
        <v/>
      </c>
      <c r="I550" s="263"/>
      <c r="K550" s="257"/>
      <c r="L550" s="257"/>
    </row>
    <row r="551" spans="1:13" ht="12.6" customHeight="1" x14ac:dyDescent="0.25">
      <c r="A551" s="180" t="s">
        <v>565</v>
      </c>
      <c r="B551" s="236">
        <v>367754</v>
      </c>
      <c r="C551" s="236">
        <f>BF71</f>
        <v>387898</v>
      </c>
      <c r="D551" s="181" t="s">
        <v>529</v>
      </c>
      <c r="E551" s="181" t="s">
        <v>529</v>
      </c>
      <c r="F551" s="259"/>
      <c r="G551" s="259"/>
      <c r="H551" s="261"/>
      <c r="I551" s="263"/>
      <c r="J551" s="199"/>
      <c r="M551" s="261"/>
    </row>
    <row r="552" spans="1:13" ht="12.6" customHeight="1" x14ac:dyDescent="0.25">
      <c r="A552" s="180" t="s">
        <v>566</v>
      </c>
      <c r="B552" s="236">
        <v>0</v>
      </c>
      <c r="C552" s="236">
        <f>BG71</f>
        <v>0</v>
      </c>
      <c r="D552" s="181" t="s">
        <v>529</v>
      </c>
      <c r="E552" s="181" t="s">
        <v>529</v>
      </c>
      <c r="F552" s="259"/>
      <c r="G552" s="259"/>
      <c r="H552" s="261"/>
      <c r="J552" s="199"/>
      <c r="M552" s="261"/>
    </row>
    <row r="553" spans="1:13" ht="12.6" customHeight="1" x14ac:dyDescent="0.25">
      <c r="A553" s="180" t="s">
        <v>567</v>
      </c>
      <c r="B553" s="236">
        <v>0</v>
      </c>
      <c r="C553" s="236">
        <f>BH71</f>
        <v>0</v>
      </c>
      <c r="D553" s="181" t="s">
        <v>529</v>
      </c>
      <c r="E553" s="181" t="s">
        <v>529</v>
      </c>
      <c r="F553" s="259"/>
      <c r="G553" s="259"/>
      <c r="H553" s="261"/>
      <c r="J553" s="199"/>
      <c r="M553" s="261"/>
    </row>
    <row r="554" spans="1:13" ht="12.6" customHeight="1" x14ac:dyDescent="0.25">
      <c r="A554" s="180" t="s">
        <v>568</v>
      </c>
      <c r="B554" s="236">
        <v>0</v>
      </c>
      <c r="C554" s="236">
        <f>BI71</f>
        <v>0</v>
      </c>
      <c r="D554" s="181" t="s">
        <v>529</v>
      </c>
      <c r="E554" s="181" t="s">
        <v>529</v>
      </c>
      <c r="F554" s="259"/>
      <c r="G554" s="259"/>
      <c r="H554" s="261"/>
      <c r="J554" s="199"/>
      <c r="M554" s="261"/>
    </row>
    <row r="555" spans="1:13" ht="12.6" customHeight="1" x14ac:dyDescent="0.25">
      <c r="A555" s="180" t="s">
        <v>569</v>
      </c>
      <c r="B555" s="236">
        <v>0</v>
      </c>
      <c r="C555" s="236">
        <f>BJ71</f>
        <v>0</v>
      </c>
      <c r="D555" s="181" t="s">
        <v>529</v>
      </c>
      <c r="E555" s="181" t="s">
        <v>529</v>
      </c>
      <c r="F555" s="259"/>
      <c r="G555" s="259"/>
      <c r="H555" s="261"/>
      <c r="J555" s="199"/>
      <c r="M555" s="261"/>
    </row>
    <row r="556" spans="1:13" ht="12.6" customHeight="1" x14ac:dyDescent="0.25">
      <c r="A556" s="180" t="s">
        <v>570</v>
      </c>
      <c r="B556" s="236">
        <v>0</v>
      </c>
      <c r="C556" s="236">
        <f>BK71</f>
        <v>0</v>
      </c>
      <c r="D556" s="181" t="s">
        <v>529</v>
      </c>
      <c r="E556" s="181" t="s">
        <v>529</v>
      </c>
      <c r="F556" s="259"/>
      <c r="G556" s="259"/>
      <c r="H556" s="261"/>
      <c r="J556" s="199"/>
      <c r="M556" s="261"/>
    </row>
    <row r="557" spans="1:13" ht="12.6" customHeight="1" x14ac:dyDescent="0.25">
      <c r="A557" s="180" t="s">
        <v>571</v>
      </c>
      <c r="B557" s="236">
        <v>0</v>
      </c>
      <c r="C557" s="236">
        <f>BL71</f>
        <v>0</v>
      </c>
      <c r="D557" s="181" t="s">
        <v>529</v>
      </c>
      <c r="E557" s="181" t="s">
        <v>529</v>
      </c>
      <c r="F557" s="259"/>
      <c r="G557" s="259"/>
      <c r="H557" s="261"/>
      <c r="J557" s="199"/>
      <c r="M557" s="261"/>
    </row>
    <row r="558" spans="1:13" ht="12.6" customHeight="1" x14ac:dyDescent="0.25">
      <c r="A558" s="180" t="s">
        <v>572</v>
      </c>
      <c r="B558" s="236">
        <v>0</v>
      </c>
      <c r="C558" s="236">
        <f>BM71</f>
        <v>0</v>
      </c>
      <c r="D558" s="181" t="s">
        <v>529</v>
      </c>
      <c r="E558" s="181" t="s">
        <v>529</v>
      </c>
      <c r="F558" s="259"/>
      <c r="G558" s="259"/>
      <c r="H558" s="261"/>
      <c r="J558" s="199"/>
      <c r="M558" s="261"/>
    </row>
    <row r="559" spans="1:13" ht="12.6" customHeight="1" x14ac:dyDescent="0.25">
      <c r="A559" s="180" t="s">
        <v>573</v>
      </c>
      <c r="B559" s="236">
        <v>3271681</v>
      </c>
      <c r="C559" s="236">
        <f>BN71</f>
        <v>3555327</v>
      </c>
      <c r="D559" s="181" t="s">
        <v>529</v>
      </c>
      <c r="E559" s="181" t="s">
        <v>529</v>
      </c>
      <c r="F559" s="259"/>
      <c r="G559" s="259"/>
      <c r="H559" s="261"/>
      <c r="J559" s="199"/>
      <c r="M559" s="261"/>
    </row>
    <row r="560" spans="1:13" ht="12.6" customHeight="1" x14ac:dyDescent="0.25">
      <c r="A560" s="180" t="s">
        <v>574</v>
      </c>
      <c r="B560" s="236">
        <v>0</v>
      </c>
      <c r="C560" s="236">
        <f>BO71</f>
        <v>0</v>
      </c>
      <c r="D560" s="181" t="s">
        <v>529</v>
      </c>
      <c r="E560" s="181" t="s">
        <v>529</v>
      </c>
      <c r="F560" s="259"/>
      <c r="G560" s="259"/>
      <c r="H560" s="261"/>
      <c r="J560" s="199"/>
      <c r="M560" s="261"/>
    </row>
    <row r="561" spans="1:13" ht="12.6" customHeight="1" x14ac:dyDescent="0.25">
      <c r="A561" s="180" t="s">
        <v>575</v>
      </c>
      <c r="B561" s="236">
        <v>0</v>
      </c>
      <c r="C561" s="236">
        <f>BP71</f>
        <v>0</v>
      </c>
      <c r="D561" s="181" t="s">
        <v>529</v>
      </c>
      <c r="E561" s="181" t="s">
        <v>529</v>
      </c>
      <c r="F561" s="259"/>
      <c r="G561" s="259"/>
      <c r="H561" s="261"/>
      <c r="J561" s="199"/>
      <c r="M561" s="261"/>
    </row>
    <row r="562" spans="1:13" ht="12.6" customHeight="1" x14ac:dyDescent="0.25">
      <c r="A562" s="180" t="s">
        <v>576</v>
      </c>
      <c r="B562" s="236">
        <v>581649</v>
      </c>
      <c r="C562" s="236">
        <f>BQ71</f>
        <v>535780</v>
      </c>
      <c r="D562" s="181" t="s">
        <v>529</v>
      </c>
      <c r="E562" s="181" t="s">
        <v>529</v>
      </c>
      <c r="F562" s="259"/>
      <c r="G562" s="259"/>
      <c r="H562" s="261"/>
      <c r="J562" s="199"/>
      <c r="M562" s="261"/>
    </row>
    <row r="563" spans="1:13" ht="12.6" customHeight="1" x14ac:dyDescent="0.25">
      <c r="A563" s="180" t="s">
        <v>577</v>
      </c>
      <c r="B563" s="236">
        <v>236027</v>
      </c>
      <c r="C563" s="236">
        <f>BR71</f>
        <v>213562</v>
      </c>
      <c r="D563" s="181" t="s">
        <v>529</v>
      </c>
      <c r="E563" s="181" t="s">
        <v>529</v>
      </c>
      <c r="F563" s="259"/>
      <c r="G563" s="259"/>
      <c r="H563" s="261"/>
      <c r="J563" s="199"/>
      <c r="M563" s="261"/>
    </row>
    <row r="564" spans="1:13" ht="12.6" customHeight="1" x14ac:dyDescent="0.25">
      <c r="A564" s="180" t="s">
        <v>985</v>
      </c>
      <c r="B564" s="236">
        <v>0</v>
      </c>
      <c r="C564" s="236">
        <f>BS71</f>
        <v>0</v>
      </c>
      <c r="D564" s="181" t="s">
        <v>529</v>
      </c>
      <c r="E564" s="181" t="s">
        <v>529</v>
      </c>
      <c r="F564" s="259"/>
      <c r="G564" s="259"/>
      <c r="H564" s="261"/>
      <c r="J564" s="199"/>
      <c r="M564" s="261"/>
    </row>
    <row r="565" spans="1:13" ht="12.6" customHeight="1" x14ac:dyDescent="0.25">
      <c r="A565" s="180" t="s">
        <v>578</v>
      </c>
      <c r="B565" s="236">
        <v>0</v>
      </c>
      <c r="C565" s="236">
        <f>BT71</f>
        <v>0</v>
      </c>
      <c r="D565" s="181" t="s">
        <v>529</v>
      </c>
      <c r="E565" s="181" t="s">
        <v>529</v>
      </c>
      <c r="F565" s="259"/>
      <c r="G565" s="259"/>
      <c r="H565" s="261"/>
      <c r="J565" s="199"/>
      <c r="M565" s="261"/>
    </row>
    <row r="566" spans="1:13" ht="12.6" customHeight="1" x14ac:dyDescent="0.25">
      <c r="A566" s="180" t="s">
        <v>579</v>
      </c>
      <c r="B566" s="236">
        <v>0</v>
      </c>
      <c r="C566" s="236">
        <f>BU71</f>
        <v>255776</v>
      </c>
      <c r="D566" s="181" t="s">
        <v>529</v>
      </c>
      <c r="E566" s="181" t="s">
        <v>529</v>
      </c>
      <c r="F566" s="259"/>
      <c r="G566" s="259"/>
      <c r="H566" s="261"/>
      <c r="J566" s="199"/>
      <c r="M566" s="261"/>
    </row>
    <row r="567" spans="1:13" ht="12.6" customHeight="1" x14ac:dyDescent="0.25">
      <c r="A567" s="180" t="s">
        <v>580</v>
      </c>
      <c r="B567" s="236">
        <v>273899</v>
      </c>
      <c r="C567" s="236">
        <f>BV71</f>
        <v>12467</v>
      </c>
      <c r="D567" s="181" t="s">
        <v>529</v>
      </c>
      <c r="E567" s="181" t="s">
        <v>529</v>
      </c>
      <c r="F567" s="259"/>
      <c r="G567" s="259"/>
      <c r="H567" s="261"/>
      <c r="J567" s="199"/>
      <c r="M567" s="261"/>
    </row>
    <row r="568" spans="1:13" ht="12.6" customHeight="1" x14ac:dyDescent="0.25">
      <c r="A568" s="180" t="s">
        <v>581</v>
      </c>
      <c r="B568" s="236">
        <v>0</v>
      </c>
      <c r="C568" s="236">
        <f>BW71</f>
        <v>0</v>
      </c>
      <c r="D568" s="181" t="s">
        <v>529</v>
      </c>
      <c r="E568" s="181" t="s">
        <v>529</v>
      </c>
      <c r="F568" s="259"/>
      <c r="G568" s="259"/>
      <c r="H568" s="261"/>
      <c r="J568" s="199"/>
      <c r="M568" s="261"/>
    </row>
    <row r="569" spans="1:13" ht="12.6" customHeight="1" x14ac:dyDescent="0.25">
      <c r="A569" s="180" t="s">
        <v>582</v>
      </c>
      <c r="B569" s="236">
        <v>0</v>
      </c>
      <c r="C569" s="236">
        <f>BX71</f>
        <v>0</v>
      </c>
      <c r="D569" s="181" t="s">
        <v>529</v>
      </c>
      <c r="E569" s="181" t="s">
        <v>529</v>
      </c>
      <c r="F569" s="259"/>
      <c r="G569" s="259"/>
      <c r="H569" s="261"/>
      <c r="J569" s="199"/>
      <c r="M569" s="261"/>
    </row>
    <row r="570" spans="1:13" ht="12.6" customHeight="1" x14ac:dyDescent="0.25">
      <c r="A570" s="180" t="s">
        <v>583</v>
      </c>
      <c r="B570" s="236">
        <v>665545</v>
      </c>
      <c r="C570" s="236">
        <f>BY71</f>
        <v>656955</v>
      </c>
      <c r="D570" s="181" t="s">
        <v>529</v>
      </c>
      <c r="E570" s="181" t="s">
        <v>529</v>
      </c>
      <c r="F570" s="259"/>
      <c r="G570" s="259"/>
      <c r="H570" s="261"/>
      <c r="J570" s="199"/>
      <c r="M570" s="261"/>
    </row>
    <row r="571" spans="1:13" ht="12.6" customHeight="1" x14ac:dyDescent="0.25">
      <c r="A571" s="180" t="s">
        <v>584</v>
      </c>
      <c r="B571" s="236">
        <v>0</v>
      </c>
      <c r="C571" s="236">
        <f>BZ71</f>
        <v>0</v>
      </c>
      <c r="D571" s="181" t="s">
        <v>529</v>
      </c>
      <c r="E571" s="181" t="s">
        <v>529</v>
      </c>
      <c r="F571" s="259"/>
      <c r="G571" s="259"/>
      <c r="H571" s="261"/>
      <c r="J571" s="199"/>
      <c r="M571" s="261"/>
    </row>
    <row r="572" spans="1:13" ht="12.6" customHeight="1" x14ac:dyDescent="0.25">
      <c r="A572" s="180" t="s">
        <v>585</v>
      </c>
      <c r="B572" s="236">
        <v>0</v>
      </c>
      <c r="C572" s="236">
        <f>CA71</f>
        <v>0</v>
      </c>
      <c r="D572" s="181" t="s">
        <v>529</v>
      </c>
      <c r="E572" s="181" t="s">
        <v>529</v>
      </c>
      <c r="F572" s="259"/>
      <c r="G572" s="259"/>
      <c r="H572" s="261"/>
      <c r="J572" s="199"/>
      <c r="M572" s="261"/>
    </row>
    <row r="573" spans="1:13" ht="12.6" customHeight="1" x14ac:dyDescent="0.25">
      <c r="A573" s="180" t="s">
        <v>586</v>
      </c>
      <c r="B573" s="236">
        <v>0</v>
      </c>
      <c r="C573" s="236">
        <f>CB71</f>
        <v>0</v>
      </c>
      <c r="D573" s="181" t="s">
        <v>529</v>
      </c>
      <c r="E573" s="181" t="s">
        <v>529</v>
      </c>
      <c r="F573" s="259"/>
      <c r="G573" s="259"/>
      <c r="H573" s="261"/>
      <c r="J573" s="199"/>
      <c r="M573" s="261"/>
    </row>
    <row r="574" spans="1:13" ht="12.6" customHeight="1" x14ac:dyDescent="0.25">
      <c r="A574" s="180" t="s">
        <v>587</v>
      </c>
      <c r="B574" s="236">
        <v>0</v>
      </c>
      <c r="C574" s="236">
        <f>CC71</f>
        <v>724908</v>
      </c>
      <c r="D574" s="181" t="s">
        <v>529</v>
      </c>
      <c r="E574" s="181" t="s">
        <v>529</v>
      </c>
      <c r="F574" s="259"/>
      <c r="G574" s="259"/>
      <c r="H574" s="261"/>
      <c r="J574" s="199"/>
      <c r="M574" s="261"/>
    </row>
    <row r="575" spans="1:13" ht="12.6" customHeight="1" x14ac:dyDescent="0.25">
      <c r="A575" s="180" t="s">
        <v>588</v>
      </c>
      <c r="B575" s="236">
        <v>-2052171</v>
      </c>
      <c r="C575" s="236">
        <f>CD71</f>
        <v>-1869733</v>
      </c>
      <c r="D575" s="181" t="s">
        <v>529</v>
      </c>
      <c r="E575" s="181" t="s">
        <v>529</v>
      </c>
      <c r="F575" s="259"/>
      <c r="G575" s="259"/>
      <c r="H575" s="261"/>
    </row>
    <row r="576" spans="1:13" ht="12.6" customHeight="1" x14ac:dyDescent="0.25">
      <c r="M576" s="261"/>
    </row>
    <row r="577" spans="13:13" ht="12.6" customHeight="1" x14ac:dyDescent="0.25">
      <c r="M577" s="261"/>
    </row>
    <row r="578" spans="13:13" ht="12.6" customHeight="1" x14ac:dyDescent="0.25">
      <c r="M578" s="261"/>
    </row>
    <row r="612" spans="1:14" ht="12.6" customHeight="1" x14ac:dyDescent="0.25">
      <c r="A612" s="196"/>
      <c r="C612" s="181" t="s">
        <v>589</v>
      </c>
      <c r="D612" s="180">
        <f>CE76-(BE76+CD76)</f>
        <v>80349</v>
      </c>
      <c r="E612" s="180">
        <f>SUM(C624:D647)+SUM(C668:D713)</f>
        <v>13277699.342269352</v>
      </c>
      <c r="F612" s="180">
        <f>CE64-(AX64+BD64+BE64+BG64+BJ64+BN64+BP64+BQ64+CB64+CC64+CD64)</f>
        <v>1</v>
      </c>
      <c r="G612" s="180">
        <f>CE77-(AX77+AY77+BD77+BE77+BG77+BJ77+BN77+BP77+BQ77+CB77+CC77+CD77)</f>
        <v>4740</v>
      </c>
      <c r="H612" s="197">
        <f>CE60-(AX60+AY60+AZ60+BD60+BE60+BG60+BJ60+BN60+BO60+BP60+BQ60+BR60+CB60+CC60+CD60)</f>
        <v>60.03</v>
      </c>
      <c r="I612" s="180">
        <f>CE78-(AX78+AY78+AZ78+BD78+BE78+BF78+BG78+BJ78+BN78+BO78+BP78+BQ78+BR78+CB78+CC78+CD78)</f>
        <v>54434</v>
      </c>
      <c r="J612" s="180">
        <f>CE79-(AX79+AY79+AZ79+BA79+BD79+BE79+BF79+BG79+BJ79+BN79+BO79+BP79+BQ79+BR79+CB79+CC79+CD79)</f>
        <v>53472</v>
      </c>
      <c r="K612" s="180">
        <f>CE75-(AW75+AX75+AY75+AZ75+BA75+BB75+BC75+BD75+BE75+BF75+BG75+BH75+BI75+BJ75+BK75+BL75+BM75+BN75+BO75+BP75+BQ75+BR75+BS75+BT75+BU75+BV75+BW75+BX75+CB75+CC75+CD75)</f>
        <v>31665217</v>
      </c>
      <c r="L612" s="197">
        <f>CE80-(AW80+AX80+AY80+AZ80+BA80+BB80+BC80+BD80+BE80+BF80+BG80+BH80+BI80+BJ80+BK80+BL80+BM80+BN80+BO80+BP80+BQ80+BR80+BS80+BT80+BU80+BV80+BW80+BX80+BY80+BZ80+CA80+CB80+CC80+CD80)</f>
        <v>39.61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98610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68">
        <f>CD69-CD70</f>
        <v>-1869733</v>
      </c>
      <c r="D615" s="262">
        <f>SUM(C614:C615)</f>
        <v>-1771123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3555327</v>
      </c>
      <c r="D619" s="180">
        <f>(D615/D612)*BN76</f>
        <v>-294536.90184071986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724908</v>
      </c>
      <c r="D620" s="180">
        <f>(D615/D612)*CC76</f>
        <v>-117444.4404286301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535780</v>
      </c>
      <c r="D623" s="180">
        <f>(D615/D612)*BQ76</f>
        <v>0</v>
      </c>
      <c r="E623" s="180">
        <f>SUM(C616:D623)</f>
        <v>4404033.6577306502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2879</v>
      </c>
      <c r="D624" s="180">
        <f>(D615/D612)*BD76</f>
        <v>-5400.5044866768721</v>
      </c>
      <c r="E624" s="180">
        <f>(E623/E612)*SUM(C624:D624)</f>
        <v>-836.34900453664136</v>
      </c>
      <c r="F624" s="180">
        <f>SUM(C624:E624)</f>
        <v>-3357.8534912135137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51761</v>
      </c>
      <c r="D625" s="180">
        <f>(D615/D612)*AY76</f>
        <v>-97098.866382904584</v>
      </c>
      <c r="E625" s="180">
        <f>(E623/E612)*SUM(C625:D625)</f>
        <v>-15037.958336981015</v>
      </c>
      <c r="F625" s="180">
        <f>(F624/F612)*AY64</f>
        <v>0</v>
      </c>
      <c r="G625" s="180">
        <f>SUM(C625:F625)</f>
        <v>-60375.824719885597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213562</v>
      </c>
      <c r="D626" s="180">
        <f>(D615/D612)*BR76</f>
        <v>-9125.7504387111221</v>
      </c>
      <c r="E626" s="180">
        <f>(E623/E612)*SUM(C626:D626)</f>
        <v>67808.74462655645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558640</v>
      </c>
      <c r="D628" s="180">
        <f>(D615/D612)*AZ76</f>
        <v>-31719.697780930688</v>
      </c>
      <c r="E628" s="180">
        <f>(E623/E612)*SUM(C628:D628)</f>
        <v>174772.35220463786</v>
      </c>
      <c r="F628" s="180">
        <f>(F624/F612)*AZ64</f>
        <v>0</v>
      </c>
      <c r="G628" s="180">
        <f>(G625/G612)*AZ77</f>
        <v>0</v>
      </c>
      <c r="H628" s="180">
        <f>SUM(C626:G628)</f>
        <v>973937.64861155255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387898</v>
      </c>
      <c r="D629" s="180">
        <f>(D615/D612)*BF76</f>
        <v>-15914.956079104904</v>
      </c>
      <c r="E629" s="180">
        <f>(E623/E612)*SUM(C629:D629)</f>
        <v>123381.75487356111</v>
      </c>
      <c r="F629" s="180">
        <f>(F624/F612)*BF64</f>
        <v>0</v>
      </c>
      <c r="G629" s="180">
        <f>(G625/G612)*BF77</f>
        <v>0</v>
      </c>
      <c r="H629" s="180">
        <f>(H628/H612)*BF60</f>
        <v>0</v>
      </c>
      <c r="I629" s="180">
        <f>SUM(C629:H629)</f>
        <v>495364.79879445618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85448</v>
      </c>
      <c r="D630" s="180">
        <f>(D615/D612)*BA76</f>
        <v>-35577.200985699885</v>
      </c>
      <c r="E630" s="180">
        <f>(E623/E612)*SUM(C630:D630)</f>
        <v>16541.470908118921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14687.856583279792</v>
      </c>
      <c r="J630" s="180">
        <f>SUM(C630:I630)</f>
        <v>81100.126505698834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738312</v>
      </c>
      <c r="D632" s="180">
        <f>(D615/D612)*BB76</f>
        <v>-42035.763494256309</v>
      </c>
      <c r="E632" s="180">
        <f>(E623/E612)*SUM(C632:D632)</f>
        <v>230945.42974680921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17354.239469835542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0</v>
      </c>
      <c r="D637" s="180">
        <f>(D615/D612)*BL76</f>
        <v>0</v>
      </c>
      <c r="E637" s="180">
        <f>(E623/E612)*SUM(C637:D637)</f>
        <v>0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255776</v>
      </c>
      <c r="D641" s="180">
        <f>(D615/D612)*BU76</f>
        <v>0</v>
      </c>
      <c r="E641" s="180">
        <f>(E623/E612)*SUM(C641:D641)</f>
        <v>84837.446895162837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12467</v>
      </c>
      <c r="D642" s="180">
        <f>(D615/D612)*BV76</f>
        <v>-23387.490858629229</v>
      </c>
      <c r="E642" s="180">
        <f>(E623/E612)*SUM(C642:D642)</f>
        <v>-3622.1794198363746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9655.4001455141643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1280302.0824846001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656955</v>
      </c>
      <c r="D645" s="180">
        <f>(D615/D612)*BY76</f>
        <v>-29074.552726231814</v>
      </c>
      <c r="E645" s="180">
        <f>(E623/E612)*SUM(C645:D645)</f>
        <v>208259.46962224523</v>
      </c>
      <c r="F645" s="180">
        <f>(F624/F612)*BY64</f>
        <v>0</v>
      </c>
      <c r="G645" s="180">
        <f>(G625/G612)*BY77</f>
        <v>0</v>
      </c>
      <c r="H645" s="180">
        <f>(H628/H612)*BY60</f>
        <v>0</v>
      </c>
      <c r="I645" s="180">
        <f>(I629/I612)*BY78</f>
        <v>12003.273130945507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848143.19002695882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6008590</v>
      </c>
      <c r="L648" s="262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2456544</v>
      </c>
      <c r="D670" s="180">
        <f>(D615/D612)*E76</f>
        <v>-357513.39701800892</v>
      </c>
      <c r="E670" s="180">
        <f>(E623/E612)*SUM(C670:D670)</f>
        <v>696220.11960389686</v>
      </c>
      <c r="F670" s="180">
        <f>(F624/F612)*E64</f>
        <v>-3357.8534912135137</v>
      </c>
      <c r="G670" s="180">
        <f>(G625/G612)*E77</f>
        <v>-60375.824719885597</v>
      </c>
      <c r="H670" s="180">
        <f>(H628/H612)*E60</f>
        <v>262182.78196839395</v>
      </c>
      <c r="I670" s="180">
        <f>(I629/I612)*E78</f>
        <v>147597.48818105017</v>
      </c>
      <c r="J670" s="180">
        <f>(J630/J612)*E79</f>
        <v>36339.748486619988</v>
      </c>
      <c r="K670" s="180">
        <f>(K644/K612)*E75</f>
        <v>64852.587381641941</v>
      </c>
      <c r="L670" s="180">
        <f>(L647/L612)*E80</f>
        <v>346023.57866285421</v>
      </c>
      <c r="M670" s="180">
        <f t="shared" si="20"/>
        <v>1131969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2698764</v>
      </c>
      <c r="D681" s="180">
        <f>(D615/D612)*P76</f>
        <v>-90111.274863408384</v>
      </c>
      <c r="E681" s="180">
        <f>(E623/E612)*SUM(C681:D681)</f>
        <v>865254.89896119037</v>
      </c>
      <c r="F681" s="180">
        <f>(F624/F612)*P64</f>
        <v>0</v>
      </c>
      <c r="G681" s="180">
        <f>(G625/G612)*P77</f>
        <v>0</v>
      </c>
      <c r="H681" s="180">
        <f>(H628/H612)*P60</f>
        <v>132551.56736892194</v>
      </c>
      <c r="I681" s="180">
        <f>(I629/I612)*P78</f>
        <v>37201.956451330727</v>
      </c>
      <c r="J681" s="180">
        <f>(J630/J612)*P79</f>
        <v>26849.856738674192</v>
      </c>
      <c r="K681" s="180">
        <f>(K644/K612)*P75</f>
        <v>421973.31301272236</v>
      </c>
      <c r="L681" s="180">
        <f>(L647/L612)*P80</f>
        <v>174938.90084625737</v>
      </c>
      <c r="M681" s="180">
        <f t="shared" si="20"/>
        <v>1568659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258394</v>
      </c>
      <c r="D682" s="180">
        <f>(D615/D612)*Q76</f>
        <v>-31080.454392711796</v>
      </c>
      <c r="E682" s="180">
        <f>(E623/E612)*SUM(C682:D682)</f>
        <v>75396.834941548426</v>
      </c>
      <c r="F682" s="180">
        <f>(F624/F612)*Q64</f>
        <v>0</v>
      </c>
      <c r="G682" s="180">
        <f>(G625/G612)*Q77</f>
        <v>0</v>
      </c>
      <c r="H682" s="180">
        <f>(H628/H612)*Q60</f>
        <v>31637.155002374267</v>
      </c>
      <c r="I682" s="180">
        <f>(I629/I612)*Q78</f>
        <v>12831.398873868964</v>
      </c>
      <c r="J682" s="180">
        <f>(J630/J612)*Q79</f>
        <v>0</v>
      </c>
      <c r="K682" s="180">
        <f>(K644/K612)*Q75</f>
        <v>43300.599244584686</v>
      </c>
      <c r="L682" s="180">
        <f>(L647/L612)*Q80</f>
        <v>41754.082821322132</v>
      </c>
      <c r="M682" s="180">
        <f t="shared" si="20"/>
        <v>173840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2391009</v>
      </c>
      <c r="D683" s="180">
        <f>(D615/D612)*R76</f>
        <v>-11881.109870689119</v>
      </c>
      <c r="E683" s="180">
        <f>(E623/E612)*SUM(C683:D683)</f>
        <v>789124.60917226889</v>
      </c>
      <c r="F683" s="180">
        <f>(F624/F612)*R64</f>
        <v>0</v>
      </c>
      <c r="G683" s="180">
        <f>(G625/G612)*R77</f>
        <v>0</v>
      </c>
      <c r="H683" s="180">
        <f>(H628/H612)*R60</f>
        <v>70250.708287323374</v>
      </c>
      <c r="I683" s="180">
        <f>(I629/I612)*R78</f>
        <v>4905.0524773158668</v>
      </c>
      <c r="J683" s="180">
        <f>(J630/J612)*R79</f>
        <v>0</v>
      </c>
      <c r="K683" s="180">
        <f>(K644/K612)*R75</f>
        <v>154241.52195306044</v>
      </c>
      <c r="L683" s="180">
        <f>(L647/L612)*R80</f>
        <v>92715.476213499918</v>
      </c>
      <c r="M683" s="180">
        <f t="shared" si="20"/>
        <v>1099356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145239</v>
      </c>
      <c r="D684" s="180">
        <f>(D615/D612)*S76</f>
        <v>0</v>
      </c>
      <c r="E684" s="180">
        <f>(E623/E612)*SUM(C684:D684)</f>
        <v>48173.815954610895</v>
      </c>
      <c r="F684" s="180">
        <f>(F624/F612)*S64</f>
        <v>0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164761.92233295506</v>
      </c>
      <c r="L684" s="180">
        <f>(L647/L612)*S80</f>
        <v>0</v>
      </c>
      <c r="M684" s="180">
        <f t="shared" si="20"/>
        <v>212936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173839</v>
      </c>
      <c r="D686" s="180">
        <f>(D615/D612)*U76</f>
        <v>-10161.765585134848</v>
      </c>
      <c r="E686" s="180">
        <f>(E623/E612)*SUM(C686:D686)</f>
        <v>54289.529442239465</v>
      </c>
      <c r="F686" s="180">
        <f>(F624/F612)*U64</f>
        <v>0</v>
      </c>
      <c r="G686" s="180">
        <f>(G625/G612)*U77</f>
        <v>0</v>
      </c>
      <c r="H686" s="180">
        <f>(H628/H612)*U60</f>
        <v>20604.711206674525</v>
      </c>
      <c r="I686" s="180">
        <f>(I629/I612)*U78</f>
        <v>4195.2304119529026</v>
      </c>
      <c r="J686" s="180">
        <f>(J630/J612)*U79</f>
        <v>0</v>
      </c>
      <c r="K686" s="180">
        <f>(K644/K612)*U75</f>
        <v>7502.2398047996185</v>
      </c>
      <c r="L686" s="180">
        <f>(L647/L612)*U80</f>
        <v>0</v>
      </c>
      <c r="M686" s="180">
        <f t="shared" si="20"/>
        <v>76430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" customHeight="1" x14ac:dyDescent="0.25">
      <c r="A690" s="196">
        <v>7140</v>
      </c>
      <c r="B690" s="198" t="s">
        <v>986</v>
      </c>
      <c r="C690" s="180">
        <f>Y71</f>
        <v>447573</v>
      </c>
      <c r="D690" s="180">
        <f>(D615/D612)*Y76</f>
        <v>-71000.101843209006</v>
      </c>
      <c r="E690" s="180">
        <f>(E623/E612)*SUM(C690:D690)</f>
        <v>124904.14757261949</v>
      </c>
      <c r="F690" s="180">
        <f>(F624/F612)*Y64</f>
        <v>0</v>
      </c>
      <c r="G690" s="180">
        <f>(G625/G612)*Y77</f>
        <v>0</v>
      </c>
      <c r="H690" s="180">
        <f>(H628/H612)*Y60</f>
        <v>68141.564620498437</v>
      </c>
      <c r="I690" s="180">
        <f>(I629/I612)*Y78</f>
        <v>29312.011186334705</v>
      </c>
      <c r="J690" s="180">
        <f>(J630/J612)*Y79</f>
        <v>3884.2277076057508</v>
      </c>
      <c r="K690" s="180">
        <f>(K644/K612)*Y75</f>
        <v>131565.22887258057</v>
      </c>
      <c r="L690" s="180">
        <f>(L647/L612)*Y80</f>
        <v>0</v>
      </c>
      <c r="M690" s="180">
        <f t="shared" si="20"/>
        <v>286807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352622</v>
      </c>
      <c r="D693" s="180">
        <f>(D615/D612)*AB76</f>
        <v>-6612.8626367471907</v>
      </c>
      <c r="E693" s="180">
        <f>(E623/E612)*SUM(C693:D693)</f>
        <v>114766.56064797349</v>
      </c>
      <c r="F693" s="180">
        <f>(F624/F612)*AB64</f>
        <v>0</v>
      </c>
      <c r="G693" s="180">
        <f>(G625/G612)*AB77</f>
        <v>0</v>
      </c>
      <c r="H693" s="180">
        <f>(H628/H612)*AB60</f>
        <v>25634.207642949408</v>
      </c>
      <c r="I693" s="180">
        <f>(I629/I612)*AB78</f>
        <v>2730.0848667806308</v>
      </c>
      <c r="J693" s="180">
        <f>(J630/J612)*AB79</f>
        <v>0</v>
      </c>
      <c r="K693" s="180">
        <f>(K644/K612)*AB75</f>
        <v>86365.113454298858</v>
      </c>
      <c r="L693" s="180">
        <f>(L647/L612)*AB80</f>
        <v>0</v>
      </c>
      <c r="M693" s="180">
        <f t="shared" si="20"/>
        <v>222883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377011</v>
      </c>
      <c r="D694" s="180">
        <f>(D615/D612)*AC76</f>
        <v>-2270.4161719498688</v>
      </c>
      <c r="E694" s="180">
        <f>(E623/E612)*SUM(C694:D694)</f>
        <v>124296.39364121154</v>
      </c>
      <c r="F694" s="180">
        <f>(F624/F612)*AC64</f>
        <v>0</v>
      </c>
      <c r="G694" s="180">
        <f>(G625/G612)*AC77</f>
        <v>0</v>
      </c>
      <c r="H694" s="180">
        <f>(H628/H612)*AC60</f>
        <v>49970.480721698848</v>
      </c>
      <c r="I694" s="180">
        <f>(I629/I612)*AC78</f>
        <v>937.32913759468317</v>
      </c>
      <c r="J694" s="180">
        <f>(J630/J612)*AC79</f>
        <v>0</v>
      </c>
      <c r="K694" s="180">
        <f>(K644/K612)*AC75</f>
        <v>17075.105882212538</v>
      </c>
      <c r="L694" s="180">
        <f>(L647/L612)*AC80</f>
        <v>0</v>
      </c>
      <c r="M694" s="180">
        <f t="shared" si="20"/>
        <v>190009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548808</v>
      </c>
      <c r="D696" s="180">
        <f>(D615/D612)*AE76</f>
        <v>-115085.85275485694</v>
      </c>
      <c r="E696" s="180">
        <f>(E623/E612)*SUM(C696:D696)</f>
        <v>143859.78213032428</v>
      </c>
      <c r="F696" s="180">
        <f>(F624/F612)*AE64</f>
        <v>0</v>
      </c>
      <c r="G696" s="180">
        <f>(G625/G612)*AE77</f>
        <v>0</v>
      </c>
      <c r="H696" s="180">
        <f>(H628/H612)*AE60</f>
        <v>61814.133620023575</v>
      </c>
      <c r="I696" s="180">
        <f>(I629/I612)*AE78</f>
        <v>47512.576964872242</v>
      </c>
      <c r="J696" s="180">
        <f>(J630/J612)*AE79</f>
        <v>1146.6130991604637</v>
      </c>
      <c r="K696" s="180">
        <f>(K644/K612)*AE75</f>
        <v>42028.23069477472</v>
      </c>
      <c r="L696" s="180">
        <f>(L647/L612)*AE80</f>
        <v>0</v>
      </c>
      <c r="M696" s="180">
        <f t="shared" si="20"/>
        <v>181275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0</v>
      </c>
      <c r="D698" s="180">
        <f>(D615/D612)*AG76</f>
        <v>0</v>
      </c>
      <c r="E698" s="180">
        <f>(E623/E612)*SUM(C698:D698)</f>
        <v>0</v>
      </c>
      <c r="F698" s="180">
        <f>(F624/F612)*AG64</f>
        <v>0</v>
      </c>
      <c r="G698" s="180">
        <f>(G625/G612)*AG77</f>
        <v>0</v>
      </c>
      <c r="H698" s="180">
        <f>(H628/H612)*AG60</f>
        <v>0</v>
      </c>
      <c r="I698" s="180">
        <f>(I629/I612)*AG78</f>
        <v>0</v>
      </c>
      <c r="J698" s="180">
        <f>(J630/J612)*AG79</f>
        <v>0</v>
      </c>
      <c r="K698" s="180">
        <f>(K644/K612)*AG75</f>
        <v>0</v>
      </c>
      <c r="L698" s="180">
        <f>(L647/L612)*AG80</f>
        <v>0</v>
      </c>
      <c r="M698" s="180">
        <f t="shared" si="20"/>
        <v>0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903792</v>
      </c>
      <c r="D701" s="180">
        <f>(D615/D612)*AJ76</f>
        <v>-193734.83238123686</v>
      </c>
      <c r="E701" s="180">
        <f>(E623/E612)*SUM(C701:D701)</f>
        <v>235516.37859058927</v>
      </c>
      <c r="F701" s="180">
        <f>(F624/F612)*AJ64</f>
        <v>0</v>
      </c>
      <c r="G701" s="180">
        <f>(G625/G612)*AJ77</f>
        <v>0</v>
      </c>
      <c r="H701" s="180">
        <f>(H628/H612)*AJ60</f>
        <v>146017.63847249662</v>
      </c>
      <c r="I701" s="180">
        <f>(I629/I612)*AJ78</f>
        <v>79982.386313783209</v>
      </c>
      <c r="J701" s="180">
        <f>(J630/J612)*AJ79</f>
        <v>10812.440190363686</v>
      </c>
      <c r="K701" s="180">
        <f>(K644/K612)*AJ75</f>
        <v>136681.34805177929</v>
      </c>
      <c r="L701" s="180">
        <f>(L647/L612)*AJ80</f>
        <v>192711.15148302523</v>
      </c>
      <c r="M701" s="180">
        <f t="shared" si="20"/>
        <v>607987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919548</v>
      </c>
      <c r="D702" s="180">
        <f>(D615/D612)*AK76</f>
        <v>-180354.80697955171</v>
      </c>
      <c r="E702" s="180">
        <f>(E623/E612)*SUM(C702:D702)</f>
        <v>245180.40495643902</v>
      </c>
      <c r="F702" s="180">
        <f>(F624/F612)*AK64</f>
        <v>0</v>
      </c>
      <c r="G702" s="180">
        <f>(G625/G612)*AK77</f>
        <v>0</v>
      </c>
      <c r="H702" s="180">
        <f>(H628/H612)*AK60</f>
        <v>105132.69970019758</v>
      </c>
      <c r="I702" s="180">
        <f>(I629/I612)*AK78</f>
        <v>74458.51459999707</v>
      </c>
      <c r="J702" s="180">
        <f>(J630/J612)*AK79</f>
        <v>2067.2402832747516</v>
      </c>
      <c r="K702" s="180">
        <f>(K644/K612)*AK75</f>
        <v>9954.8717991900503</v>
      </c>
      <c r="L702" s="180">
        <f>(L647/L612)*AK80</f>
        <v>0</v>
      </c>
      <c r="M702" s="180">
        <f t="shared" si="20"/>
        <v>256439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15" ht="12.6" customHeight="1" x14ac:dyDescent="0.25">
      <c r="C715" s="180">
        <f>SUM(C614:C647)+SUM(C668:C713)</f>
        <v>17681733</v>
      </c>
      <c r="D715" s="180">
        <f>SUM(D616:D647)+SUM(D668:D713)</f>
        <v>-1771123</v>
      </c>
      <c r="E715" s="180">
        <f>SUM(E624:E647)+SUM(E668:E713)</f>
        <v>4404033.6577306492</v>
      </c>
      <c r="F715" s="180">
        <f>SUM(F625:F648)+SUM(F668:F713)</f>
        <v>-3357.8534912135137</v>
      </c>
      <c r="G715" s="180">
        <f>SUM(G626:G647)+SUM(G668:G713)</f>
        <v>-60375.824719885597</v>
      </c>
      <c r="H715" s="180">
        <f>SUM(H629:H647)+SUM(H668:H713)</f>
        <v>973937.64861155255</v>
      </c>
      <c r="I715" s="180">
        <f>SUM(I630:I647)+SUM(I668:I713)</f>
        <v>495364.79879445618</v>
      </c>
      <c r="J715" s="180">
        <f>SUM(J631:J647)+SUM(J668:J713)</f>
        <v>81100.126505698834</v>
      </c>
      <c r="K715" s="180">
        <f>SUM(K668:K713)</f>
        <v>1280302.0824846001</v>
      </c>
      <c r="L715" s="180">
        <f>SUM(L668:L713)</f>
        <v>848143.19002695894</v>
      </c>
      <c r="M715" s="180">
        <f>SUM(M668:M713)</f>
        <v>6008590</v>
      </c>
      <c r="N715" s="198" t="s">
        <v>742</v>
      </c>
    </row>
    <row r="716" spans="1:15" ht="12.6" customHeight="1" x14ac:dyDescent="0.25">
      <c r="C716" s="180">
        <f>CE71</f>
        <v>17681733</v>
      </c>
      <c r="D716" s="180">
        <f>D615</f>
        <v>-1771123</v>
      </c>
      <c r="E716" s="180">
        <f>E623</f>
        <v>4404033.6577306502</v>
      </c>
      <c r="F716" s="180">
        <f>F624</f>
        <v>-3357.8534912135137</v>
      </c>
      <c r="G716" s="180">
        <f>G625</f>
        <v>-60375.824719885597</v>
      </c>
      <c r="H716" s="180">
        <f>H628</f>
        <v>973937.64861155255</v>
      </c>
      <c r="I716" s="180">
        <f>I629</f>
        <v>495364.79879445618</v>
      </c>
      <c r="J716" s="180">
        <f>J630</f>
        <v>81100.126505698834</v>
      </c>
      <c r="K716" s="180">
        <f>K644</f>
        <v>1280302.0824846001</v>
      </c>
      <c r="L716" s="180">
        <f>L647</f>
        <v>848143.19002695882</v>
      </c>
      <c r="M716" s="180">
        <f>C648</f>
        <v>6008590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E35" sqref="E35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744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745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746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74" t="s">
        <v>999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747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748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996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997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998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5"/>
    </row>
    <row r="16" spans="2:13" ht="15.6" thickBot="1" x14ac:dyDescent="0.3">
      <c r="B16" s="144"/>
      <c r="C16" s="8"/>
      <c r="D16" s="8"/>
      <c r="E16" s="8"/>
      <c r="F16" s="8" t="s">
        <v>749</v>
      </c>
      <c r="G16" s="8"/>
      <c r="H16" s="8"/>
      <c r="I16" s="8"/>
      <c r="J16" s="145"/>
    </row>
    <row r="17" spans="2:10" ht="15.6" thickTop="1" x14ac:dyDescent="0.25">
      <c r="B17" s="141"/>
      <c r="C17" s="150" t="s">
        <v>750</v>
      </c>
      <c r="D17" s="150"/>
      <c r="E17" s="142" t="str">
        <f>+data!C84</f>
        <v>Shriners Hospitals for Children - Spokane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751</v>
      </c>
      <c r="D18" s="151"/>
      <c r="E18" s="8" t="str">
        <f>+"H-"&amp;data!C83</f>
        <v>H-042</v>
      </c>
      <c r="F18" s="76"/>
      <c r="G18" s="76"/>
      <c r="H18" s="8"/>
      <c r="I18" s="8"/>
      <c r="J18" s="145"/>
    </row>
    <row r="19" spans="2:10" x14ac:dyDescent="0.25">
      <c r="B19" s="144"/>
      <c r="C19" s="151" t="s">
        <v>752</v>
      </c>
      <c r="D19" s="151"/>
      <c r="E19" s="8" t="str">
        <f>+data!C85</f>
        <v>911 W 5th Avenue Spokane Washington 99204</v>
      </c>
      <c r="F19" s="76"/>
      <c r="G19" s="76"/>
      <c r="H19" s="8"/>
      <c r="I19" s="8"/>
      <c r="J19" s="145"/>
    </row>
    <row r="20" spans="2:10" x14ac:dyDescent="0.25">
      <c r="B20" s="144"/>
      <c r="C20" s="151" t="s">
        <v>753</v>
      </c>
      <c r="D20" s="151"/>
      <c r="E20" s="8" t="str">
        <f>+data!C86</f>
        <v>'2900 Rocky Point Drive</v>
      </c>
      <c r="F20" s="76"/>
      <c r="G20" s="76"/>
      <c r="H20" s="8"/>
      <c r="I20" s="8"/>
      <c r="J20" s="145"/>
    </row>
    <row r="21" spans="2:10" x14ac:dyDescent="0.25">
      <c r="B21" s="144"/>
      <c r="C21" s="151" t="s">
        <v>754</v>
      </c>
      <c r="D21" s="151"/>
      <c r="E21" s="8" t="str">
        <f>+data!C87</f>
        <v>Tampa FL 33607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755</v>
      </c>
      <c r="G26" s="70"/>
      <c r="H26" s="70"/>
      <c r="I26" s="70"/>
      <c r="J26" s="154"/>
    </row>
    <row r="27" spans="2:10" x14ac:dyDescent="0.25">
      <c r="B27" s="155" t="s">
        <v>756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757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758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759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760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761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762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760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761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763</v>
      </c>
      <c r="H1" s="7"/>
    </row>
    <row r="2" spans="1:13" ht="20.100000000000001" customHeight="1" x14ac:dyDescent="0.25">
      <c r="A2" s="6" t="s">
        <v>764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12/31/2019</v>
      </c>
      <c r="C4" s="38"/>
      <c r="D4" s="120"/>
      <c r="E4" s="70"/>
      <c r="F4" s="127" t="str">
        <f>"License Number:  "&amp;"H-"&amp;FIXED(data!C83,0)</f>
        <v>License Number:  H-42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Shriners Hospitals for Children - Spokane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Spokane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765</v>
      </c>
      <c r="C7" s="24"/>
      <c r="D7" s="127" t="str">
        <f>"  "&amp;data!C89</f>
        <v xml:space="preserve">  John McCabe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766</v>
      </c>
      <c r="C8" s="24"/>
      <c r="D8" s="127" t="str">
        <f>"  "&amp;data!C90</f>
        <v xml:space="preserve">  Sharon Russell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767</v>
      </c>
      <c r="C9" s="24"/>
      <c r="D9" s="127" t="str">
        <f>"  "&amp;data!C91</f>
        <v xml:space="preserve">  Von Chimienti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768</v>
      </c>
      <c r="C10" s="24"/>
      <c r="D10" s="127" t="str">
        <f>"  "&amp;data!C92</f>
        <v xml:space="preserve">  813-281-8610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769</v>
      </c>
      <c r="C11" s="24"/>
      <c r="D11" s="127" t="str">
        <f>"  "&amp;data!C93</f>
        <v xml:space="preserve">  813-281-7155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770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771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772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773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774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775</v>
      </c>
      <c r="C23" s="38"/>
      <c r="D23" s="38"/>
      <c r="E23" s="38"/>
      <c r="F23" s="13">
        <f>data!C111</f>
        <v>204</v>
      </c>
      <c r="G23" s="21">
        <f>data!D111</f>
        <v>619</v>
      </c>
      <c r="H23" s="7"/>
    </row>
    <row r="24" spans="1:9" ht="20.100000000000001" customHeight="1" x14ac:dyDescent="0.25">
      <c r="A24" s="130"/>
      <c r="B24" s="49" t="s">
        <v>776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777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778</v>
      </c>
      <c r="C29" s="24"/>
      <c r="D29" s="15" t="s">
        <v>167</v>
      </c>
      <c r="E29" s="97" t="s">
        <v>778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779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780</v>
      </c>
      <c r="C32" s="24"/>
      <c r="D32" s="21">
        <f>data!C118</f>
        <v>0</v>
      </c>
      <c r="E32" s="49" t="s">
        <v>781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782</v>
      </c>
      <c r="C33" s="24"/>
      <c r="D33" s="21">
        <f>data!C119</f>
        <v>30</v>
      </c>
      <c r="E33" s="49" t="s">
        <v>783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784</v>
      </c>
      <c r="C34" s="24"/>
      <c r="D34" s="21">
        <f>data!C120</f>
        <v>0</v>
      </c>
      <c r="E34" s="49" t="s">
        <v>291</v>
      </c>
      <c r="F34" s="24"/>
      <c r="G34" s="21">
        <f>data!E127</f>
        <v>30</v>
      </c>
      <c r="H34" s="7"/>
    </row>
    <row r="35" spans="1:8" ht="20.100000000000001" customHeight="1" x14ac:dyDescent="0.25">
      <c r="A35" s="130"/>
      <c r="B35" s="97" t="s">
        <v>785</v>
      </c>
      <c r="C35" s="24"/>
      <c r="D35" s="21">
        <f>data!C121</f>
        <v>0</v>
      </c>
      <c r="E35" s="49" t="s">
        <v>786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30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787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788</v>
      </c>
      <c r="B1" s="8"/>
      <c r="C1" s="8"/>
      <c r="D1" s="8"/>
      <c r="E1" s="8"/>
      <c r="F1" s="8"/>
      <c r="G1" s="165" t="s">
        <v>789</v>
      </c>
    </row>
    <row r="2" spans="1:13" ht="20.100000000000001" customHeight="1" x14ac:dyDescent="0.25">
      <c r="A2" s="105" t="str">
        <f>"Hospital Name: "&amp;data!C84</f>
        <v>Hospital Name: Shriners Hospitals for Children - Spokane</v>
      </c>
      <c r="B2" s="8"/>
      <c r="C2" s="8"/>
      <c r="D2" s="8"/>
      <c r="E2" s="8"/>
      <c r="F2" s="11"/>
      <c r="G2" s="76" t="s">
        <v>790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12/31/2019</v>
      </c>
    </row>
    <row r="4" spans="1:13" ht="20.100000000000001" customHeight="1" x14ac:dyDescent="0.25">
      <c r="A4" s="107" t="s">
        <v>791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792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793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0</v>
      </c>
      <c r="C7" s="48">
        <f>data!B139</f>
        <v>0</v>
      </c>
      <c r="D7" s="48">
        <f>data!B140</f>
        <v>4</v>
      </c>
      <c r="E7" s="48">
        <f>data!B141</f>
        <v>0</v>
      </c>
      <c r="F7" s="48">
        <f>data!B142</f>
        <v>3738</v>
      </c>
      <c r="G7" s="48">
        <f>data!B141+data!B142</f>
        <v>3738</v>
      </c>
    </row>
    <row r="8" spans="1:13" ht="20.100000000000001" customHeight="1" x14ac:dyDescent="0.25">
      <c r="A8" s="23" t="s">
        <v>297</v>
      </c>
      <c r="B8" s="48">
        <f>data!C138</f>
        <v>97</v>
      </c>
      <c r="C8" s="48">
        <f>data!C139</f>
        <v>306</v>
      </c>
      <c r="D8" s="48">
        <f>data!C140</f>
        <v>7968</v>
      </c>
      <c r="E8" s="48">
        <f>data!C141</f>
        <v>6279127</v>
      </c>
      <c r="F8" s="48">
        <f>data!C142</f>
        <v>12504432</v>
      </c>
      <c r="G8" s="48">
        <f>data!C141+data!C142</f>
        <v>18783559</v>
      </c>
    </row>
    <row r="9" spans="1:13" ht="20.100000000000001" customHeight="1" x14ac:dyDescent="0.25">
      <c r="A9" s="23" t="s">
        <v>794</v>
      </c>
      <c r="B9" s="48">
        <f>data!D138</f>
        <v>107</v>
      </c>
      <c r="C9" s="48">
        <f>data!D139</f>
        <v>313</v>
      </c>
      <c r="D9" s="48">
        <f>data!D140</f>
        <v>8334</v>
      </c>
      <c r="E9" s="48">
        <f>data!D141</f>
        <v>5826989</v>
      </c>
      <c r="F9" s="48">
        <f>data!D142</f>
        <v>13703531</v>
      </c>
      <c r="G9" s="48">
        <f>data!D141+data!D142</f>
        <v>19530520</v>
      </c>
    </row>
    <row r="10" spans="1:13" ht="20.100000000000001" customHeight="1" x14ac:dyDescent="0.25">
      <c r="A10" s="111" t="s">
        <v>203</v>
      </c>
      <c r="B10" s="48">
        <f>data!E138</f>
        <v>204</v>
      </c>
      <c r="C10" s="48">
        <f>data!E139</f>
        <v>619</v>
      </c>
      <c r="D10" s="48">
        <f>data!E140</f>
        <v>16306</v>
      </c>
      <c r="E10" s="48">
        <f>data!E141</f>
        <v>12106116</v>
      </c>
      <c r="F10" s="48">
        <f>data!E142</f>
        <v>26211701</v>
      </c>
      <c r="G10" s="48">
        <f>data!E141+data!E142</f>
        <v>38317817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795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792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793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794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796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792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793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794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797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798</v>
      </c>
      <c r="C32" s="123">
        <f>data!B157</f>
        <v>7079400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799</v>
      </c>
      <c r="C33" s="125">
        <f>data!C157</f>
        <v>5538918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800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Shriners Hospitals for Children - Spokane</v>
      </c>
      <c r="B3" s="30"/>
      <c r="C3" s="31" t="str">
        <f>"FYE: "&amp;data!C82</f>
        <v>FYE: 12/31/2019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801</v>
      </c>
      <c r="C6" s="13">
        <f>data!C165</f>
        <v>845442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0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0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2485309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38396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809256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201225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802</v>
      </c>
      <c r="C14" s="13">
        <f>data!D173</f>
        <v>4379628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803</v>
      </c>
      <c r="C18" s="13">
        <f>data!C175</f>
        <v>0</v>
      </c>
    </row>
    <row r="19" spans="1:3" ht="20.100000000000001" customHeight="1" x14ac:dyDescent="0.25">
      <c r="A19" s="13">
        <v>13</v>
      </c>
      <c r="B19" s="49" t="s">
        <v>804</v>
      </c>
      <c r="C19" s="13">
        <f>data!C176</f>
        <v>69865</v>
      </c>
    </row>
    <row r="20" spans="1:3" ht="20.100000000000001" customHeight="1" x14ac:dyDescent="0.25">
      <c r="A20" s="13">
        <v>14</v>
      </c>
      <c r="B20" s="49" t="s">
        <v>805</v>
      </c>
      <c r="C20" s="13">
        <f>data!D177</f>
        <v>69865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806</v>
      </c>
      <c r="C24" s="104"/>
    </row>
    <row r="25" spans="1:3" ht="20.100000000000001" customHeight="1" x14ac:dyDescent="0.25">
      <c r="A25" s="13">
        <v>17</v>
      </c>
      <c r="B25" s="49" t="s">
        <v>807</v>
      </c>
      <c r="C25" s="13">
        <f>data!C179</f>
        <v>0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258544</v>
      </c>
    </row>
    <row r="27" spans="1:3" ht="20.100000000000001" customHeight="1" x14ac:dyDescent="0.25">
      <c r="A27" s="13">
        <v>19</v>
      </c>
      <c r="B27" s="49" t="s">
        <v>808</v>
      </c>
      <c r="C27" s="13">
        <f>data!D181</f>
        <v>258544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809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41020</v>
      </c>
    </row>
    <row r="32" spans="1:3" ht="20.100000000000001" customHeight="1" x14ac:dyDescent="0.25">
      <c r="A32" s="13">
        <v>22</v>
      </c>
      <c r="B32" s="49" t="s">
        <v>810</v>
      </c>
      <c r="C32" s="13">
        <f>data!C184</f>
        <v>81724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811</v>
      </c>
      <c r="C34" s="13">
        <f>data!D186</f>
        <v>122744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812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0</v>
      </c>
    </row>
    <row r="40" spans="1:3" ht="20.100000000000001" customHeight="1" x14ac:dyDescent="0.25">
      <c r="A40" s="13">
        <v>28</v>
      </c>
      <c r="B40" s="49" t="s">
        <v>813</v>
      </c>
      <c r="C40" s="13">
        <f>data!D190</f>
        <v>0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814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Shriners Hospitals for Children - Spokane</v>
      </c>
      <c r="B3" s="8"/>
      <c r="C3" s="8"/>
      <c r="E3" s="11"/>
      <c r="F3" s="12" t="str">
        <f>" FYE: "&amp;data!C82</f>
        <v xml:space="preserve"> FYE: 12/31/2019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815</v>
      </c>
      <c r="D5" s="47"/>
      <c r="E5" s="47"/>
      <c r="F5" s="72" t="s">
        <v>816</v>
      </c>
    </row>
    <row r="6" spans="1:13" ht="20.100000000000001" customHeight="1" x14ac:dyDescent="0.25">
      <c r="A6" s="19"/>
      <c r="B6" s="20"/>
      <c r="C6" s="18" t="s">
        <v>817</v>
      </c>
      <c r="D6" s="18" t="s">
        <v>329</v>
      </c>
      <c r="E6" s="18" t="s">
        <v>818</v>
      </c>
      <c r="F6" s="18" t="s">
        <v>817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5725868</v>
      </c>
      <c r="D7" s="21">
        <f>data!C195</f>
        <v>0</v>
      </c>
      <c r="E7" s="21">
        <f>data!D195</f>
        <v>0</v>
      </c>
      <c r="F7" s="21">
        <f>data!E195</f>
        <v>5725868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413661</v>
      </c>
      <c r="D8" s="21">
        <f>data!C196</f>
        <v>0</v>
      </c>
      <c r="E8" s="21">
        <f>data!D196</f>
        <v>0</v>
      </c>
      <c r="F8" s="21">
        <f>data!E196</f>
        <v>413661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40638281</v>
      </c>
      <c r="D9" s="21">
        <f>data!C197</f>
        <v>0</v>
      </c>
      <c r="E9" s="21">
        <f>data!D197</f>
        <v>0</v>
      </c>
      <c r="F9" s="21">
        <f>data!E197</f>
        <v>40638281</v>
      </c>
    </row>
    <row r="10" spans="1:13" ht="20.100000000000001" customHeight="1" x14ac:dyDescent="0.25">
      <c r="A10" s="13">
        <v>4</v>
      </c>
      <c r="B10" s="14" t="s">
        <v>819</v>
      </c>
      <c r="C10" s="21">
        <f>data!B198</f>
        <v>3590856</v>
      </c>
      <c r="D10" s="21">
        <f>data!C198</f>
        <v>0</v>
      </c>
      <c r="E10" s="21">
        <f>data!D198</f>
        <v>0</v>
      </c>
      <c r="F10" s="21">
        <f>data!E198</f>
        <v>3590856</v>
      </c>
    </row>
    <row r="11" spans="1:13" ht="20.100000000000001" customHeight="1" x14ac:dyDescent="0.25">
      <c r="A11" s="13">
        <v>5</v>
      </c>
      <c r="B11" s="14" t="s">
        <v>820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00000000000001" customHeight="1" x14ac:dyDescent="0.25">
      <c r="A12" s="13">
        <v>6</v>
      </c>
      <c r="B12" s="14" t="s">
        <v>821</v>
      </c>
      <c r="C12" s="21">
        <f>data!B200</f>
        <v>17390246</v>
      </c>
      <c r="D12" s="21">
        <f>data!C200</f>
        <v>0</v>
      </c>
      <c r="E12" s="21">
        <f>data!D200</f>
        <v>0</v>
      </c>
      <c r="F12" s="21">
        <f>data!E200</f>
        <v>17390246</v>
      </c>
    </row>
    <row r="13" spans="1:13" ht="20.100000000000001" customHeight="1" x14ac:dyDescent="0.25">
      <c r="A13" s="13">
        <v>7</v>
      </c>
      <c r="B13" s="14" t="s">
        <v>822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5">
      <c r="A15" s="13">
        <v>9</v>
      </c>
      <c r="B15" s="14" t="s">
        <v>823</v>
      </c>
      <c r="C15" s="21">
        <f>data!B203</f>
        <v>0</v>
      </c>
      <c r="D15" s="21">
        <f>data!C203</f>
        <v>0</v>
      </c>
      <c r="E15" s="21">
        <f>data!D203</f>
        <v>0</v>
      </c>
      <c r="F15" s="21">
        <f>data!E203</f>
        <v>0</v>
      </c>
      <c r="M15" s="265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67758912</v>
      </c>
      <c r="D16" s="21">
        <f>data!C204</f>
        <v>0</v>
      </c>
      <c r="E16" s="21">
        <f>data!D204</f>
        <v>0</v>
      </c>
      <c r="F16" s="21">
        <f>data!E204</f>
        <v>67758912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815</v>
      </c>
      <c r="D21" s="76" t="s">
        <v>203</v>
      </c>
      <c r="E21" s="25"/>
      <c r="F21" s="18" t="s">
        <v>816</v>
      </c>
    </row>
    <row r="22" spans="1:6" ht="20.100000000000001" customHeight="1" x14ac:dyDescent="0.25">
      <c r="A22" s="75"/>
      <c r="B22" s="44"/>
      <c r="C22" s="18" t="s">
        <v>817</v>
      </c>
      <c r="D22" s="18" t="s">
        <v>824</v>
      </c>
      <c r="E22" s="18" t="s">
        <v>818</v>
      </c>
      <c r="F22" s="18" t="s">
        <v>817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325615</v>
      </c>
      <c r="D24" s="21">
        <f>data!C209</f>
        <v>0</v>
      </c>
      <c r="E24" s="21">
        <f>data!D209</f>
        <v>0</v>
      </c>
      <c r="F24" s="21">
        <f>data!E209</f>
        <v>325615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28021454</v>
      </c>
      <c r="D25" s="21">
        <f>data!C210</f>
        <v>0</v>
      </c>
      <c r="E25" s="21">
        <f>data!D210</f>
        <v>0</v>
      </c>
      <c r="F25" s="21">
        <f>data!E210</f>
        <v>28021454</v>
      </c>
    </row>
    <row r="26" spans="1:6" ht="20.100000000000001" customHeight="1" x14ac:dyDescent="0.25">
      <c r="A26" s="13">
        <v>14</v>
      </c>
      <c r="B26" s="14" t="s">
        <v>819</v>
      </c>
      <c r="C26" s="21">
        <f>data!B211</f>
        <v>3490505</v>
      </c>
      <c r="D26" s="21">
        <f>data!C211</f>
        <v>0</v>
      </c>
      <c r="E26" s="21">
        <f>data!D211</f>
        <v>0</v>
      </c>
      <c r="F26" s="21">
        <f>data!E211</f>
        <v>3490505</v>
      </c>
    </row>
    <row r="27" spans="1:6" ht="20.100000000000001" customHeight="1" x14ac:dyDescent="0.25">
      <c r="A27" s="13">
        <v>15</v>
      </c>
      <c r="B27" s="14" t="s">
        <v>820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00000000000001" customHeight="1" x14ac:dyDescent="0.25">
      <c r="A28" s="13">
        <v>16</v>
      </c>
      <c r="B28" s="14" t="s">
        <v>821</v>
      </c>
      <c r="C28" s="21">
        <f>data!B213</f>
        <v>12072745</v>
      </c>
      <c r="D28" s="21">
        <f>data!C213</f>
        <v>0</v>
      </c>
      <c r="E28" s="21">
        <f>data!D213</f>
        <v>0</v>
      </c>
      <c r="F28" s="21">
        <f>data!E213</f>
        <v>12072745</v>
      </c>
    </row>
    <row r="29" spans="1:6" ht="20.100000000000001" customHeight="1" x14ac:dyDescent="0.25">
      <c r="A29" s="13">
        <v>17</v>
      </c>
      <c r="B29" s="14" t="s">
        <v>822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823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43910319</v>
      </c>
      <c r="D32" s="21">
        <f>data!C217</f>
        <v>0</v>
      </c>
      <c r="E32" s="21">
        <f>data!D217</f>
        <v>0</v>
      </c>
      <c r="F32" s="21">
        <f>data!E217</f>
        <v>43910319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825</v>
      </c>
      <c r="B1" s="6"/>
      <c r="C1" s="6"/>
      <c r="D1" s="169" t="s">
        <v>826</v>
      </c>
    </row>
    <row r="2" spans="1:13" ht="20.100000000000001" customHeight="1" x14ac:dyDescent="0.25">
      <c r="A2" s="29" t="str">
        <f>"Hospital: "&amp;data!C84</f>
        <v>Hospital: Shriners Hospitals for Children - Spokane</v>
      </c>
      <c r="B2" s="30"/>
      <c r="C2" s="30"/>
      <c r="D2" s="31" t="str">
        <f>"FYE: "&amp;data!C82</f>
        <v>FYE: 12/31/2019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827</v>
      </c>
      <c r="C4" s="41" t="s">
        <v>828</v>
      </c>
      <c r="D4" s="54"/>
    </row>
    <row r="5" spans="1:13" ht="20.100000000000001" customHeight="1" x14ac:dyDescent="0.25">
      <c r="A5" s="102">
        <v>1</v>
      </c>
      <c r="B5" s="55"/>
      <c r="C5" s="22" t="s">
        <v>991</v>
      </c>
      <c r="D5" s="14">
        <f>data!D221</f>
        <v>0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659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14214815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830503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00000000000001" customHeight="1" x14ac:dyDescent="0.25">
      <c r="A11" s="13">
        <v>7</v>
      </c>
      <c r="B11" s="55">
        <v>5850</v>
      </c>
      <c r="C11" s="14" t="s">
        <v>829</v>
      </c>
      <c r="D11" s="14">
        <f>data!C227</f>
        <v>0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6581350</v>
      </c>
    </row>
    <row r="13" spans="1:13" ht="20.100000000000001" customHeight="1" x14ac:dyDescent="0.25">
      <c r="A13" s="23">
        <v>9</v>
      </c>
      <c r="B13" s="24"/>
      <c r="C13" s="14" t="s">
        <v>830</v>
      </c>
      <c r="D13" s="14">
        <f>data!D229</f>
        <v>21627327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831</v>
      </c>
      <c r="D16" s="140">
        <f>+data!C231</f>
        <v>642</v>
      </c>
      <c r="M16" s="265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1768538</v>
      </c>
    </row>
    <row r="19" spans="1:4" ht="20.100000000000001" customHeight="1" x14ac:dyDescent="0.25">
      <c r="A19" s="61">
        <v>15</v>
      </c>
      <c r="B19" s="55">
        <v>5910</v>
      </c>
      <c r="C19" s="22" t="s">
        <v>832</v>
      </c>
      <c r="D19" s="14">
        <f>data!C234</f>
        <v>1844831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833</v>
      </c>
      <c r="D22" s="14">
        <f>data!D236</f>
        <v>3613369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0">
        <v>20</v>
      </c>
      <c r="B24" s="55">
        <v>5970</v>
      </c>
      <c r="C24" s="14" t="s">
        <v>357</v>
      </c>
      <c r="D24" s="14">
        <f>data!C238</f>
        <v>133055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834</v>
      </c>
      <c r="D26" s="14">
        <f>data!C239</f>
        <v>3595070</v>
      </c>
    </row>
    <row r="27" spans="1:4" ht="20.100000000000001" customHeight="1" x14ac:dyDescent="0.25">
      <c r="A27" s="64">
        <v>23</v>
      </c>
      <c r="B27" s="63" t="s">
        <v>835</v>
      </c>
      <c r="C27" s="56"/>
      <c r="D27" s="14">
        <f>data!D242</f>
        <v>28968821</v>
      </c>
    </row>
    <row r="28" spans="1:4" ht="20.100000000000001" customHeight="1" x14ac:dyDescent="0.25">
      <c r="A28" s="126">
        <v>24</v>
      </c>
      <c r="B28" s="65" t="s">
        <v>836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837</v>
      </c>
      <c r="B1" s="5"/>
      <c r="C1" s="6"/>
    </row>
    <row r="2" spans="1:13" ht="20.100000000000001" customHeight="1" x14ac:dyDescent="0.25">
      <c r="A2" s="4"/>
      <c r="B2" s="5"/>
      <c r="C2" s="167" t="s">
        <v>838</v>
      </c>
    </row>
    <row r="3" spans="1:13" ht="20.100000000000001" customHeight="1" x14ac:dyDescent="0.25">
      <c r="A3" s="29" t="str">
        <f>"HOSPITAL: "&amp;data!C84</f>
        <v>HOSPITAL: Shriners Hospitals for Children - Spokane</v>
      </c>
      <c r="B3" s="30"/>
      <c r="C3" s="31" t="str">
        <f>" FYE: "&amp;data!C82</f>
        <v xml:space="preserve"> FYE: 12/31/2019</v>
      </c>
    </row>
    <row r="4" spans="1:13" ht="20.100000000000001" customHeight="1" x14ac:dyDescent="0.25">
      <c r="A4" s="32"/>
      <c r="B4" s="33" t="s">
        <v>839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137985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5912418</v>
      </c>
    </row>
    <row r="9" spans="1:13" ht="20.100000000000001" customHeight="1" x14ac:dyDescent="0.25">
      <c r="A9" s="13">
        <v>5</v>
      </c>
      <c r="B9" s="14" t="s">
        <v>840</v>
      </c>
      <c r="C9" s="21">
        <f>data!C253</f>
        <v>4481953</v>
      </c>
    </row>
    <row r="10" spans="1:13" ht="20.100000000000001" customHeight="1" x14ac:dyDescent="0.25">
      <c r="A10" s="13">
        <v>6</v>
      </c>
      <c r="B10" s="14" t="s">
        <v>841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842</v>
      </c>
      <c r="C11" s="21">
        <f>data!C255</f>
        <v>0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751270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295268</v>
      </c>
    </row>
    <row r="15" spans="1:13" ht="20.100000000000001" customHeight="1" x14ac:dyDescent="0.25">
      <c r="A15" s="13">
        <v>11</v>
      </c>
      <c r="B15" s="14" t="s">
        <v>843</v>
      </c>
      <c r="C15" s="21">
        <f>data!C259</f>
        <v>0</v>
      </c>
      <c r="M15" s="265"/>
    </row>
    <row r="16" spans="1:13" ht="20.100000000000001" customHeight="1" x14ac:dyDescent="0.25">
      <c r="A16" s="13">
        <v>12</v>
      </c>
      <c r="B16" s="14" t="s">
        <v>844</v>
      </c>
      <c r="C16" s="21">
        <f>data!D260</f>
        <v>2614988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845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846</v>
      </c>
      <c r="C22" s="21">
        <f>data!D265</f>
        <v>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847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2862934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206831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20319141</v>
      </c>
    </row>
    <row r="28" spans="1:3" ht="20.100000000000001" customHeight="1" x14ac:dyDescent="0.25">
      <c r="A28" s="13">
        <v>24</v>
      </c>
      <c r="B28" s="14" t="s">
        <v>848</v>
      </c>
      <c r="C28" s="21">
        <f>data!C270</f>
        <v>1795428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0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8695123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0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33879457</v>
      </c>
    </row>
    <row r="34" spans="1:3" ht="20.100000000000001" customHeight="1" x14ac:dyDescent="0.25">
      <c r="A34" s="13">
        <v>30</v>
      </c>
      <c r="B34" s="14" t="s">
        <v>849</v>
      </c>
      <c r="C34" s="21">
        <f>data!C276</f>
        <v>21955161</v>
      </c>
    </row>
    <row r="35" spans="1:3" ht="20.100000000000001" customHeight="1" x14ac:dyDescent="0.25">
      <c r="A35" s="13">
        <v>31</v>
      </c>
      <c r="B35" s="14" t="s">
        <v>850</v>
      </c>
      <c r="C35" s="21">
        <f>data!D277</f>
        <v>11924296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851</v>
      </c>
      <c r="C37" s="36"/>
    </row>
    <row r="38" spans="1:3" ht="20.100000000000001" customHeight="1" x14ac:dyDescent="0.25">
      <c r="A38" s="13">
        <v>34</v>
      </c>
      <c r="B38" s="14" t="s">
        <v>852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853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0</v>
      </c>
    </row>
    <row r="42" spans="1:3" ht="20.100000000000001" customHeight="1" x14ac:dyDescent="0.25">
      <c r="A42" s="13">
        <v>38</v>
      </c>
      <c r="B42" s="14" t="s">
        <v>854</v>
      </c>
      <c r="C42" s="21">
        <f>data!D283</f>
        <v>0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855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856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857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858</v>
      </c>
      <c r="C50" s="21">
        <f>data!D292</f>
        <v>14539284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859</v>
      </c>
      <c r="B53" s="5"/>
      <c r="C53" s="6"/>
    </row>
    <row r="54" spans="1:3" ht="20.100000000000001" customHeight="1" x14ac:dyDescent="0.25">
      <c r="A54" s="4"/>
      <c r="B54" s="5"/>
      <c r="C54" s="167" t="s">
        <v>860</v>
      </c>
    </row>
    <row r="55" spans="1:3" ht="20.100000000000001" customHeight="1" x14ac:dyDescent="0.25">
      <c r="A55" s="29" t="str">
        <f>"HOSPITAL: "&amp;data!C84</f>
        <v>HOSPITAL: Shriners Hospitals for Children - Spokane</v>
      </c>
      <c r="B55" s="30"/>
      <c r="C55" s="31" t="str">
        <f>"FYE: "&amp;data!C82</f>
        <v>FYE: 12/31/2019</v>
      </c>
    </row>
    <row r="56" spans="1:3" ht="20.100000000000001" customHeight="1" x14ac:dyDescent="0.25">
      <c r="A56" s="42"/>
      <c r="B56" s="43" t="s">
        <v>861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862</v>
      </c>
      <c r="C59" s="21">
        <f>data!C305</f>
        <v>97033</v>
      </c>
    </row>
    <row r="60" spans="1:3" ht="20.100000000000001" customHeight="1" x14ac:dyDescent="0.25">
      <c r="A60" s="13">
        <v>4</v>
      </c>
      <c r="B60" s="14" t="s">
        <v>863</v>
      </c>
      <c r="C60" s="21">
        <f>data!C306</f>
        <v>1926151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172551</v>
      </c>
    </row>
    <row r="62" spans="1:3" ht="20.100000000000001" customHeight="1" x14ac:dyDescent="0.25">
      <c r="A62" s="13">
        <v>6</v>
      </c>
      <c r="B62" s="14" t="s">
        <v>864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865</v>
      </c>
      <c r="C63" s="21">
        <f>data!C309</f>
        <v>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57667</v>
      </c>
    </row>
    <row r="67" spans="1:3" ht="20.100000000000001" customHeight="1" x14ac:dyDescent="0.25">
      <c r="A67" s="13">
        <v>11</v>
      </c>
      <c r="B67" s="14" t="s">
        <v>866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867</v>
      </c>
      <c r="C68" s="21">
        <f>data!D314</f>
        <v>2253402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868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869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-176</v>
      </c>
    </row>
    <row r="74" spans="1:3" ht="20.100000000000001" customHeight="1" x14ac:dyDescent="0.25">
      <c r="A74" s="13">
        <v>18</v>
      </c>
      <c r="B74" s="14" t="s">
        <v>870</v>
      </c>
      <c r="C74" s="21">
        <f>data!D319</f>
        <v>-176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871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872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873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0</v>
      </c>
    </row>
    <row r="85" spans="1:3" ht="20.100000000000001" customHeight="1" x14ac:dyDescent="0.25">
      <c r="A85" s="13">
        <v>29</v>
      </c>
      <c r="B85" s="14" t="s">
        <v>874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875</v>
      </c>
      <c r="C86" s="21">
        <f>data!D330</f>
        <v>0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876</v>
      </c>
      <c r="C88" s="21">
        <f>data!C332</f>
        <v>12286058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877</v>
      </c>
      <c r="C90" s="36"/>
    </row>
    <row r="91" spans="1:3" ht="20.100000000000001" customHeight="1" x14ac:dyDescent="0.25">
      <c r="A91" s="13">
        <v>35</v>
      </c>
      <c r="B91" s="14" t="s">
        <v>878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879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880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881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882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883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884</v>
      </c>
      <c r="C101" s="21">
        <f>data!C332+data!C334+data!C335+data!C336+data!C337-data!C338</f>
        <v>12286058</v>
      </c>
    </row>
    <row r="102" spans="1:3" ht="20.100000000000001" customHeight="1" x14ac:dyDescent="0.25">
      <c r="A102" s="13">
        <v>46</v>
      </c>
      <c r="B102" s="14" t="s">
        <v>885</v>
      </c>
      <c r="C102" s="21">
        <f>data!D339</f>
        <v>14539284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886</v>
      </c>
      <c r="B105" s="5"/>
      <c r="C105" s="6"/>
    </row>
    <row r="106" spans="1:3" ht="20.100000000000001" customHeight="1" x14ac:dyDescent="0.25">
      <c r="A106" s="45"/>
      <c r="B106" s="8"/>
      <c r="C106" s="167" t="s">
        <v>887</v>
      </c>
    </row>
    <row r="107" spans="1:3" ht="20.100000000000001" customHeight="1" x14ac:dyDescent="0.25">
      <c r="A107" s="29" t="str">
        <f>"HOSPITAL: "&amp;data!C84</f>
        <v>HOSPITAL: Shriners Hospitals for Children - Spokane</v>
      </c>
      <c r="B107" s="30"/>
      <c r="C107" s="31" t="str">
        <f>" FYE: "&amp;data!C82</f>
        <v xml:space="preserve"> FYE: 12/31/2019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888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12106116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26211704</v>
      </c>
    </row>
    <row r="112" spans="1:3" ht="20.100000000000001" customHeight="1" x14ac:dyDescent="0.25">
      <c r="A112" s="13">
        <v>4</v>
      </c>
      <c r="B112" s="14" t="s">
        <v>889</v>
      </c>
      <c r="C112" s="21">
        <f>data!D361</f>
        <v>38317820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890</v>
      </c>
      <c r="C114" s="36"/>
    </row>
    <row r="115" spans="1:3" ht="20.100000000000001" customHeight="1" x14ac:dyDescent="0.25">
      <c r="A115" s="13">
        <v>7</v>
      </c>
      <c r="B115" s="269" t="s">
        <v>450</v>
      </c>
      <c r="C115" s="48">
        <f>data!C363</f>
        <v>0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25355452</v>
      </c>
    </row>
    <row r="117" spans="1:3" ht="20.100000000000001" customHeight="1" x14ac:dyDescent="0.25">
      <c r="A117" s="13">
        <v>9</v>
      </c>
      <c r="B117" s="14" t="s">
        <v>891</v>
      </c>
      <c r="C117" s="48">
        <f>data!C365</f>
        <v>3613369</v>
      </c>
    </row>
    <row r="118" spans="1:3" ht="20.100000000000001" customHeight="1" x14ac:dyDescent="0.25">
      <c r="A118" s="13">
        <v>10</v>
      </c>
      <c r="B118" s="14" t="s">
        <v>892</v>
      </c>
      <c r="C118" s="48">
        <f>data!C366</f>
        <v>0</v>
      </c>
    </row>
    <row r="119" spans="1:3" ht="20.100000000000001" customHeight="1" x14ac:dyDescent="0.25">
      <c r="A119" s="13">
        <v>11</v>
      </c>
      <c r="B119" s="14" t="s">
        <v>835</v>
      </c>
      <c r="C119" s="48">
        <f>data!D367</f>
        <v>28968821</v>
      </c>
    </row>
    <row r="120" spans="1:3" ht="20.100000000000001" customHeight="1" x14ac:dyDescent="0.25">
      <c r="A120" s="13">
        <v>12</v>
      </c>
      <c r="B120" s="14" t="s">
        <v>893</v>
      </c>
      <c r="C120" s="48">
        <f>data!D368</f>
        <v>9348999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2800000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894</v>
      </c>
      <c r="C125" s="48">
        <f>data!D372</f>
        <v>2800000</v>
      </c>
    </row>
    <row r="126" spans="1:3" ht="20.100000000000001" customHeight="1" x14ac:dyDescent="0.25">
      <c r="A126" s="13">
        <v>18</v>
      </c>
      <c r="B126" s="14" t="s">
        <v>895</v>
      </c>
      <c r="C126" s="48">
        <f>data!D373</f>
        <v>12148999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896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14239897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4379628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302175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2720774</v>
      </c>
    </row>
    <row r="133" spans="1:3" ht="20.100000000000001" customHeight="1" x14ac:dyDescent="0.25">
      <c r="A133" s="13">
        <v>25</v>
      </c>
      <c r="B133" s="14" t="s">
        <v>897</v>
      </c>
      <c r="C133" s="48">
        <f>data!C382</f>
        <v>422052</v>
      </c>
    </row>
    <row r="134" spans="1:3" ht="20.100000000000001" customHeight="1" x14ac:dyDescent="0.25">
      <c r="A134" s="13">
        <v>26</v>
      </c>
      <c r="B134" s="14" t="s">
        <v>898</v>
      </c>
      <c r="C134" s="48">
        <f>data!C383</f>
        <v>425388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1019531</v>
      </c>
    </row>
    <row r="136" spans="1:3" ht="20.100000000000001" customHeight="1" x14ac:dyDescent="0.25">
      <c r="A136" s="13">
        <v>28</v>
      </c>
      <c r="B136" s="14" t="s">
        <v>899</v>
      </c>
      <c r="C136" s="48">
        <f>data!C385</f>
        <v>69865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258544</v>
      </c>
    </row>
    <row r="138" spans="1:3" ht="20.100000000000001" customHeight="1" x14ac:dyDescent="0.25">
      <c r="A138" s="13">
        <v>30</v>
      </c>
      <c r="B138" s="14" t="s">
        <v>900</v>
      </c>
      <c r="C138" s="48">
        <f>data!C387</f>
        <v>122744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0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997716</v>
      </c>
    </row>
    <row r="141" spans="1:3" ht="20.100000000000001" customHeight="1" x14ac:dyDescent="0.25">
      <c r="A141" s="13">
        <v>34</v>
      </c>
      <c r="B141" s="14" t="s">
        <v>901</v>
      </c>
      <c r="C141" s="48">
        <f>data!D390</f>
        <v>24958314</v>
      </c>
    </row>
    <row r="142" spans="1:3" ht="20.100000000000001" customHeight="1" x14ac:dyDescent="0.25">
      <c r="A142" s="13">
        <v>35</v>
      </c>
      <c r="B142" s="14" t="s">
        <v>902</v>
      </c>
      <c r="C142" s="48">
        <f>data!D391</f>
        <v>-12809315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903</v>
      </c>
      <c r="C144" s="48">
        <f>data!C392</f>
        <v>0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904</v>
      </c>
      <c r="C146" s="21">
        <f>data!D393</f>
        <v>-12809315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905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906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907</v>
      </c>
      <c r="C151" s="48">
        <f>data!D396</f>
        <v>-12809315</v>
      </c>
    </row>
    <row r="152" spans="1:3" ht="20.100000000000001" customHeight="1" x14ac:dyDescent="0.25">
      <c r="A152" s="40">
        <v>45</v>
      </c>
      <c r="B152" s="49" t="s">
        <v>908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1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909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910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Shriners Hospitals for Children - Spokane</v>
      </c>
      <c r="B4" s="77"/>
      <c r="C4" s="77"/>
      <c r="D4" s="77"/>
      <c r="E4" s="77"/>
      <c r="F4" s="77"/>
      <c r="G4" s="80"/>
      <c r="H4" s="79" t="str">
        <f>"FYE: "&amp;data!C82</f>
        <v>FYE: 12/31/2019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911</v>
      </c>
      <c r="C6" s="88" t="s">
        <v>92</v>
      </c>
      <c r="D6" s="18" t="s">
        <v>912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913</v>
      </c>
      <c r="E7" s="18" t="s">
        <v>163</v>
      </c>
      <c r="F7" s="18" t="s">
        <v>914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915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619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18.37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1787481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577326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1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4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0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185510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0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0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916</v>
      </c>
      <c r="C21" s="14">
        <f>data!C71</f>
        <v>0</v>
      </c>
      <c r="D21" s="14">
        <f>data!D71</f>
        <v>0</v>
      </c>
      <c r="E21" s="14">
        <f>data!E71</f>
        <v>2550318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06"/>
      <c r="D22" s="207"/>
      <c r="E22" s="207"/>
      <c r="F22" s="207"/>
      <c r="G22" s="207"/>
      <c r="H22" s="207"/>
      <c r="I22" s="207"/>
    </row>
    <row r="23" spans="1:9" ht="20.100000000000001" customHeight="1" x14ac:dyDescent="0.25">
      <c r="A23" s="23">
        <v>18</v>
      </c>
      <c r="B23" s="14" t="s">
        <v>917</v>
      </c>
      <c r="C23" s="48">
        <f>+data!M668</f>
        <v>0</v>
      </c>
      <c r="D23" s="48">
        <f>+data!M669</f>
        <v>0</v>
      </c>
      <c r="E23" s="48">
        <f>+data!M670</f>
        <v>1054621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918</v>
      </c>
      <c r="C24" s="14">
        <f>data!C73</f>
        <v>0</v>
      </c>
      <c r="D24" s="14">
        <f>data!D73</f>
        <v>0</v>
      </c>
      <c r="E24" s="14">
        <f>data!E73</f>
        <v>1565126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919</v>
      </c>
      <c r="C25" s="14">
        <f>data!C74</f>
        <v>0</v>
      </c>
      <c r="D25" s="14">
        <f>data!D74</f>
        <v>0</v>
      </c>
      <c r="E25" s="14">
        <f>data!E74</f>
        <v>0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920</v>
      </c>
      <c r="C26" s="14">
        <f>data!C75</f>
        <v>0</v>
      </c>
      <c r="D26" s="14">
        <f>data!D75</f>
        <v>0</v>
      </c>
      <c r="E26" s="14">
        <f>data!E75</f>
        <v>1565126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921</v>
      </c>
      <c r="B27" s="60"/>
      <c r="C27" s="207"/>
      <c r="D27" s="207"/>
      <c r="E27" s="207"/>
      <c r="F27" s="207"/>
      <c r="G27" s="207"/>
      <c r="H27" s="207"/>
      <c r="I27" s="207"/>
    </row>
    <row r="28" spans="1:9" ht="20.100000000000001" customHeight="1" x14ac:dyDescent="0.25">
      <c r="A28" s="23">
        <v>22</v>
      </c>
      <c r="B28" s="14" t="s">
        <v>922</v>
      </c>
      <c r="C28" s="14">
        <f>data!C76</f>
        <v>0</v>
      </c>
      <c r="D28" s="14">
        <f>data!D76</f>
        <v>0</v>
      </c>
      <c r="E28" s="14">
        <f>data!E76</f>
        <v>16147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923</v>
      </c>
      <c r="C29" s="14">
        <f>data!C77</f>
        <v>0</v>
      </c>
      <c r="D29" s="14">
        <f>data!D77</f>
        <v>0</v>
      </c>
      <c r="E29" s="14">
        <f>data!E77</f>
        <v>3493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924</v>
      </c>
      <c r="C30" s="14">
        <f>data!C78</f>
        <v>0</v>
      </c>
      <c r="D30" s="14">
        <f>data!D78</f>
        <v>0</v>
      </c>
      <c r="E30" s="14">
        <f>data!E78</f>
        <v>16147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925</v>
      </c>
      <c r="C31" s="14">
        <f>data!C79</f>
        <v>0</v>
      </c>
      <c r="D31" s="14">
        <f>data!D79</f>
        <v>0</v>
      </c>
      <c r="E31" s="14">
        <f>data!E79</f>
        <v>22593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18.37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909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926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Shriners Hospitals for Children - Spokane</v>
      </c>
      <c r="B36" s="77"/>
      <c r="C36" s="77"/>
      <c r="D36" s="77"/>
      <c r="E36" s="77"/>
      <c r="F36" s="77"/>
      <c r="G36" s="80"/>
      <c r="H36" s="79" t="str">
        <f>"FYE: "&amp;data!C82</f>
        <v>FYE: 12/31/2019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911</v>
      </c>
      <c r="C38" s="25"/>
      <c r="D38" s="18" t="s">
        <v>100</v>
      </c>
      <c r="E38" s="18" t="s">
        <v>101</v>
      </c>
      <c r="F38" s="18" t="s">
        <v>927</v>
      </c>
      <c r="G38" s="18" t="s">
        <v>103</v>
      </c>
      <c r="H38" s="18" t="s">
        <v>928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915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8.06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1728404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558245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0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0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46966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0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916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2333615</v>
      </c>
    </row>
    <row r="54" spans="1:9" ht="20.100000000000001" customHeight="1" x14ac:dyDescent="0.25">
      <c r="A54" s="23">
        <v>17</v>
      </c>
      <c r="B54" s="14" t="s">
        <v>244</v>
      </c>
      <c r="C54" s="207"/>
      <c r="D54" s="207"/>
      <c r="E54" s="207"/>
      <c r="F54" s="207"/>
      <c r="G54" s="207"/>
      <c r="H54" s="207"/>
      <c r="I54" s="207"/>
    </row>
    <row r="55" spans="1:9" ht="20.100000000000001" customHeight="1" x14ac:dyDescent="0.25">
      <c r="A55" s="23">
        <v>18</v>
      </c>
      <c r="B55" s="14" t="s">
        <v>917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1262367</v>
      </c>
    </row>
    <row r="56" spans="1:9" ht="20.100000000000001" customHeight="1" x14ac:dyDescent="0.25">
      <c r="A56" s="23">
        <v>19</v>
      </c>
      <c r="B56" s="48" t="s">
        <v>918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3157023</v>
      </c>
    </row>
    <row r="57" spans="1:9" ht="20.100000000000001" customHeight="1" x14ac:dyDescent="0.25">
      <c r="A57" s="23">
        <v>20</v>
      </c>
      <c r="B57" s="48" t="s">
        <v>919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6841959</v>
      </c>
    </row>
    <row r="58" spans="1:9" ht="20.100000000000001" customHeight="1" x14ac:dyDescent="0.25">
      <c r="A58" s="23">
        <v>21</v>
      </c>
      <c r="B58" s="48" t="s">
        <v>920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9998982</v>
      </c>
    </row>
    <row r="59" spans="1:9" ht="20.100000000000001" customHeight="1" x14ac:dyDescent="0.25">
      <c r="A59" s="23" t="s">
        <v>921</v>
      </c>
      <c r="B59" s="60"/>
      <c r="C59" s="207"/>
      <c r="D59" s="207"/>
      <c r="E59" s="207"/>
      <c r="F59" s="207"/>
      <c r="G59" s="207"/>
      <c r="H59" s="207"/>
      <c r="I59" s="207"/>
    </row>
    <row r="60" spans="1:9" ht="20.100000000000001" customHeight="1" x14ac:dyDescent="0.25">
      <c r="A60" s="23">
        <v>22</v>
      </c>
      <c r="B60" s="14" t="s">
        <v>922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4088</v>
      </c>
    </row>
    <row r="61" spans="1:9" ht="20.100000000000001" customHeight="1" x14ac:dyDescent="0.25">
      <c r="A61" s="23">
        <v>23</v>
      </c>
      <c r="B61" s="14" t="s">
        <v>923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924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4088</v>
      </c>
    </row>
    <row r="63" spans="1:9" ht="20.100000000000001" customHeight="1" x14ac:dyDescent="0.25">
      <c r="A63" s="23">
        <v>25</v>
      </c>
      <c r="B63" s="14" t="s">
        <v>925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18553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8.06</v>
      </c>
    </row>
    <row r="65" spans="1:9" ht="20.100000000000001" customHeight="1" x14ac:dyDescent="0.25">
      <c r="A65" s="4" t="s">
        <v>909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929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Shriners Hospitals for Children - Spokane</v>
      </c>
      <c r="B68" s="77"/>
      <c r="C68" s="77"/>
      <c r="D68" s="77"/>
      <c r="E68" s="77"/>
      <c r="F68" s="77"/>
      <c r="G68" s="80"/>
      <c r="H68" s="79" t="str">
        <f>"FYE: "&amp;data!C82</f>
        <v>FYE: 12/31/2019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911</v>
      </c>
      <c r="C70" s="18" t="s">
        <v>106</v>
      </c>
      <c r="D70" s="25"/>
      <c r="E70" s="18" t="s">
        <v>108</v>
      </c>
      <c r="F70" s="18" t="s">
        <v>930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931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915</v>
      </c>
      <c r="C72" s="15" t="s">
        <v>932</v>
      </c>
      <c r="D72" s="89" t="s">
        <v>933</v>
      </c>
      <c r="E72" s="208"/>
      <c r="F72" s="208"/>
      <c r="G72" s="89" t="s">
        <v>934</v>
      </c>
      <c r="H72" s="89" t="s">
        <v>934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08"/>
      <c r="F73" s="208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2.3199999999999998</v>
      </c>
      <c r="D74" s="26">
        <f>data!R60</f>
        <v>4.95</v>
      </c>
      <c r="E74" s="26">
        <f>data!S60</f>
        <v>0</v>
      </c>
      <c r="F74" s="26">
        <f>data!T60</f>
        <v>0</v>
      </c>
      <c r="G74" s="26">
        <f>data!U60</f>
        <v>1.22</v>
      </c>
      <c r="H74" s="26">
        <f>data!V60</f>
        <v>0</v>
      </c>
      <c r="I74" s="26">
        <f>data!W60</f>
        <v>0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223254</v>
      </c>
      <c r="D75" s="14">
        <f>data!R61</f>
        <v>1870714</v>
      </c>
      <c r="E75" s="14">
        <f>data!S61</f>
        <v>110323</v>
      </c>
      <c r="F75" s="14">
        <f>data!T61</f>
        <v>0</v>
      </c>
      <c r="G75" s="14">
        <f>data!U61</f>
        <v>107087</v>
      </c>
      <c r="H75" s="14">
        <f>data!V61</f>
        <v>0</v>
      </c>
      <c r="I75" s="14">
        <f>data!W61</f>
        <v>0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72107</v>
      </c>
      <c r="D76" s="14">
        <f>data!R62</f>
        <v>604209</v>
      </c>
      <c r="E76" s="14">
        <f>data!S62</f>
        <v>35632</v>
      </c>
      <c r="F76" s="14">
        <f>data!T62</f>
        <v>0</v>
      </c>
      <c r="G76" s="14">
        <f>data!U62</f>
        <v>34587</v>
      </c>
      <c r="H76" s="14">
        <f>data!V62</f>
        <v>0</v>
      </c>
      <c r="I76" s="14">
        <f>data!W62</f>
        <v>0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0</v>
      </c>
      <c r="D78" s="14">
        <f>data!R64</f>
        <v>0</v>
      </c>
      <c r="E78" s="14">
        <f>data!S64</f>
        <v>0</v>
      </c>
      <c r="F78" s="14">
        <f>data!T64</f>
        <v>0</v>
      </c>
      <c r="G78" s="14">
        <f>data!U64</f>
        <v>0</v>
      </c>
      <c r="H78" s="14">
        <f>data!V64</f>
        <v>0</v>
      </c>
      <c r="I78" s="14">
        <f>data!W64</f>
        <v>0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0</v>
      </c>
      <c r="F80" s="14">
        <f>data!T66</f>
        <v>0</v>
      </c>
      <c r="G80" s="14">
        <f>data!U66</f>
        <v>0</v>
      </c>
      <c r="H80" s="14">
        <f>data!V66</f>
        <v>0</v>
      </c>
      <c r="I80" s="14">
        <f>data!W66</f>
        <v>0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16199</v>
      </c>
      <c r="D81" s="14">
        <f>data!R67</f>
        <v>6078</v>
      </c>
      <c r="E81" s="14">
        <f>data!S67</f>
        <v>0</v>
      </c>
      <c r="F81" s="14">
        <f>data!T67</f>
        <v>0</v>
      </c>
      <c r="G81" s="14">
        <f>data!U67</f>
        <v>5296</v>
      </c>
      <c r="H81" s="14">
        <f>data!V67</f>
        <v>0</v>
      </c>
      <c r="I81" s="14">
        <f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0</v>
      </c>
      <c r="F83" s="14">
        <f>data!T69</f>
        <v>0</v>
      </c>
      <c r="G83" s="14">
        <f>data!U69</f>
        <v>0</v>
      </c>
      <c r="H83" s="14">
        <f>data!V69</f>
        <v>0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916</v>
      </c>
      <c r="C85" s="14">
        <f>data!Q71</f>
        <v>311560</v>
      </c>
      <c r="D85" s="14">
        <f>data!R71</f>
        <v>2481001</v>
      </c>
      <c r="E85" s="14">
        <f>data!S71</f>
        <v>145955</v>
      </c>
      <c r="F85" s="14">
        <f>data!T71</f>
        <v>0</v>
      </c>
      <c r="G85" s="14">
        <f>data!U71</f>
        <v>146970</v>
      </c>
      <c r="H85" s="14">
        <f>data!V71</f>
        <v>0</v>
      </c>
      <c r="I85" s="14">
        <f>data!W71</f>
        <v>0</v>
      </c>
    </row>
    <row r="86" spans="1:9" ht="20.100000000000001" customHeight="1" x14ac:dyDescent="0.25">
      <c r="A86" s="23">
        <v>17</v>
      </c>
      <c r="B86" s="14" t="s">
        <v>244</v>
      </c>
      <c r="C86" s="207"/>
      <c r="D86" s="207"/>
      <c r="E86" s="207"/>
      <c r="F86" s="207"/>
      <c r="G86" s="207"/>
      <c r="H86" s="207"/>
      <c r="I86" s="207"/>
    </row>
    <row r="87" spans="1:9" ht="20.100000000000001" customHeight="1" x14ac:dyDescent="0.25">
      <c r="A87" s="23">
        <v>18</v>
      </c>
      <c r="B87" s="14" t="s">
        <v>917</v>
      </c>
      <c r="C87" s="48">
        <f>+data!M682</f>
        <v>182932</v>
      </c>
      <c r="D87" s="48">
        <f>+data!M683</f>
        <v>997613</v>
      </c>
      <c r="E87" s="48">
        <f>+data!M684</f>
        <v>194852</v>
      </c>
      <c r="F87" s="48">
        <f>+data!M685</f>
        <v>0</v>
      </c>
      <c r="G87" s="48">
        <f>+data!M686</f>
        <v>51021</v>
      </c>
      <c r="H87" s="48">
        <f>+data!M687</f>
        <v>0</v>
      </c>
      <c r="I87" s="48">
        <f>+data!M688</f>
        <v>0</v>
      </c>
    </row>
    <row r="88" spans="1:9" ht="20.100000000000001" customHeight="1" x14ac:dyDescent="0.25">
      <c r="A88" s="23">
        <v>19</v>
      </c>
      <c r="B88" s="48" t="s">
        <v>918</v>
      </c>
      <c r="C88" s="14">
        <f>data!Q73</f>
        <v>246683</v>
      </c>
      <c r="D88" s="14">
        <f>data!R73</f>
        <v>1015719</v>
      </c>
      <c r="E88" s="14">
        <f>data!S73</f>
        <v>2973835</v>
      </c>
      <c r="F88" s="14">
        <f>data!T73</f>
        <v>0</v>
      </c>
      <c r="G88" s="14">
        <f>data!U73</f>
        <v>92681</v>
      </c>
      <c r="H88" s="14">
        <f>data!V73</f>
        <v>0</v>
      </c>
      <c r="I88" s="14">
        <f>data!W73</f>
        <v>0</v>
      </c>
    </row>
    <row r="89" spans="1:9" ht="20.100000000000001" customHeight="1" x14ac:dyDescent="0.25">
      <c r="A89" s="23">
        <v>20</v>
      </c>
      <c r="B89" s="48" t="s">
        <v>919</v>
      </c>
      <c r="C89" s="14">
        <f>data!Q74</f>
        <v>772476</v>
      </c>
      <c r="D89" s="14">
        <f>data!R74</f>
        <v>2630784</v>
      </c>
      <c r="E89" s="14">
        <f>data!S74</f>
        <v>875853</v>
      </c>
      <c r="F89" s="14">
        <f>data!T74</f>
        <v>0</v>
      </c>
      <c r="G89" s="14">
        <f>data!U74</f>
        <v>76270</v>
      </c>
      <c r="H89" s="14">
        <f>data!V74</f>
        <v>0</v>
      </c>
      <c r="I89" s="14">
        <f>data!W74</f>
        <v>0</v>
      </c>
    </row>
    <row r="90" spans="1:9" ht="20.100000000000001" customHeight="1" x14ac:dyDescent="0.25">
      <c r="A90" s="23">
        <v>21</v>
      </c>
      <c r="B90" s="48" t="s">
        <v>920</v>
      </c>
      <c r="C90" s="14">
        <f>data!Q75</f>
        <v>1019159</v>
      </c>
      <c r="D90" s="14">
        <f>data!R75</f>
        <v>3646503</v>
      </c>
      <c r="E90" s="14">
        <f>data!S75</f>
        <v>3849688</v>
      </c>
      <c r="F90" s="14">
        <f>data!T75</f>
        <v>0</v>
      </c>
      <c r="G90" s="14">
        <f>data!U75</f>
        <v>168951</v>
      </c>
      <c r="H90" s="14">
        <f>data!V75</f>
        <v>0</v>
      </c>
      <c r="I90" s="14">
        <f>data!W75</f>
        <v>0</v>
      </c>
    </row>
    <row r="91" spans="1:9" ht="20.100000000000001" customHeight="1" x14ac:dyDescent="0.25">
      <c r="A91" s="23" t="s">
        <v>921</v>
      </c>
      <c r="B91" s="60"/>
      <c r="C91" s="207"/>
      <c r="D91" s="207"/>
      <c r="E91" s="207"/>
      <c r="F91" s="207"/>
      <c r="G91" s="207"/>
      <c r="H91" s="207"/>
      <c r="I91" s="207"/>
    </row>
    <row r="92" spans="1:9" ht="20.100000000000001" customHeight="1" x14ac:dyDescent="0.25">
      <c r="A92" s="23">
        <v>22</v>
      </c>
      <c r="B92" s="14" t="s">
        <v>922</v>
      </c>
      <c r="C92" s="14">
        <f>data!Q76</f>
        <v>1410</v>
      </c>
      <c r="D92" s="14">
        <f>data!R76</f>
        <v>529</v>
      </c>
      <c r="E92" s="14">
        <f>data!S76</f>
        <v>0</v>
      </c>
      <c r="F92" s="14">
        <f>data!T76</f>
        <v>0</v>
      </c>
      <c r="G92" s="14">
        <f>data!U76</f>
        <v>461</v>
      </c>
      <c r="H92" s="14">
        <f>data!V76</f>
        <v>0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923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924</v>
      </c>
      <c r="C94" s="14">
        <f>data!Q78</f>
        <v>1410</v>
      </c>
      <c r="D94" s="14">
        <f>data!R78</f>
        <v>529</v>
      </c>
      <c r="E94" s="14">
        <f>data!S78</f>
        <v>0</v>
      </c>
      <c r="F94" s="14">
        <f>data!T78</f>
        <v>0</v>
      </c>
      <c r="G94" s="14">
        <f>data!U78</f>
        <v>461</v>
      </c>
      <c r="H94" s="14">
        <f>data!V78</f>
        <v>0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925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2.3199999999999998</v>
      </c>
      <c r="D96" s="84">
        <f>data!R80</f>
        <v>4.33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909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935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Shriners Hospitals for Children - Spokane</v>
      </c>
      <c r="B100" s="77"/>
      <c r="C100" s="77"/>
      <c r="D100" s="77"/>
      <c r="E100" s="77"/>
      <c r="F100" s="77"/>
      <c r="G100" s="80"/>
      <c r="H100" s="79" t="str">
        <f>"FYE: "&amp;data!C82</f>
        <v>FYE: 12/31/2019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911</v>
      </c>
      <c r="C102" s="18" t="s">
        <v>936</v>
      </c>
      <c r="D102" s="18" t="s">
        <v>937</v>
      </c>
      <c r="E102" s="18" t="s">
        <v>937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915</v>
      </c>
      <c r="C104" s="89" t="s">
        <v>224</v>
      </c>
      <c r="D104" s="15" t="s">
        <v>938</v>
      </c>
      <c r="E104" s="15" t="s">
        <v>938</v>
      </c>
      <c r="F104" s="15" t="s">
        <v>938</v>
      </c>
      <c r="G104" s="208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08"/>
      <c r="H105" s="14">
        <f>data!AC59</f>
        <v>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0</v>
      </c>
      <c r="D106" s="26">
        <f>data!Y60</f>
        <v>4.84</v>
      </c>
      <c r="E106" s="26">
        <f>data!Z60</f>
        <v>0</v>
      </c>
      <c r="F106" s="26">
        <f>data!AA60</f>
        <v>0</v>
      </c>
      <c r="G106" s="26">
        <f>data!AB60</f>
        <v>1.75</v>
      </c>
      <c r="H106" s="26">
        <f>data!AC60</f>
        <v>3.89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0</v>
      </c>
      <c r="D107" s="14">
        <f>data!Y61</f>
        <v>331629</v>
      </c>
      <c r="E107" s="14">
        <f>data!Z61</f>
        <v>0</v>
      </c>
      <c r="F107" s="14">
        <f>data!AA61</f>
        <v>0</v>
      </c>
      <c r="G107" s="14">
        <f>data!AB61</f>
        <v>265999</v>
      </c>
      <c r="H107" s="14">
        <f>data!AC61</f>
        <v>326541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0</v>
      </c>
      <c r="D108" s="14">
        <f>data!Y62</f>
        <v>107111</v>
      </c>
      <c r="E108" s="14">
        <f>data!Z62</f>
        <v>0</v>
      </c>
      <c r="F108" s="14">
        <f>data!AA62</f>
        <v>0</v>
      </c>
      <c r="G108" s="14">
        <f>data!AB62</f>
        <v>85913</v>
      </c>
      <c r="H108" s="14">
        <f>data!AC62</f>
        <v>105467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0</v>
      </c>
      <c r="D110" s="14">
        <f>data!Y64</f>
        <v>0</v>
      </c>
      <c r="E110" s="14">
        <f>data!Z64</f>
        <v>0</v>
      </c>
      <c r="F110" s="14">
        <f>data!AA64</f>
        <v>0</v>
      </c>
      <c r="G110" s="14">
        <f>data!AB64</f>
        <v>0</v>
      </c>
      <c r="H110" s="14">
        <f>data!AC64</f>
        <v>0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0</v>
      </c>
      <c r="D112" s="14">
        <f>data!Y66</f>
        <v>0</v>
      </c>
      <c r="E112" s="14">
        <f>data!Z66</f>
        <v>0</v>
      </c>
      <c r="F112" s="14">
        <f>data!AA66</f>
        <v>0</v>
      </c>
      <c r="G112" s="14">
        <f>data!AB66</f>
        <v>0</v>
      </c>
      <c r="H112" s="14">
        <f>data!AC66</f>
        <v>0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0</v>
      </c>
      <c r="D113" s="14">
        <f>data!Y67</f>
        <v>37006</v>
      </c>
      <c r="E113" s="14">
        <f>data!Z67</f>
        <v>0</v>
      </c>
      <c r="F113" s="14">
        <f>data!AA67</f>
        <v>0</v>
      </c>
      <c r="G113" s="14">
        <f>data!AB67</f>
        <v>3447</v>
      </c>
      <c r="H113" s="14">
        <f>data!AC67</f>
        <v>1183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0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0</v>
      </c>
      <c r="D115" s="14">
        <f>data!Y69</f>
        <v>0</v>
      </c>
      <c r="E115" s="14">
        <f>data!Z69</f>
        <v>0</v>
      </c>
      <c r="F115" s="14">
        <f>data!AA69</f>
        <v>0</v>
      </c>
      <c r="G115" s="14">
        <f>data!AB69</f>
        <v>0</v>
      </c>
      <c r="H115" s="14">
        <f>data!AC69</f>
        <v>0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916</v>
      </c>
      <c r="C117" s="14">
        <f>data!X71</f>
        <v>0</v>
      </c>
      <c r="D117" s="14">
        <f>data!Y71</f>
        <v>475746</v>
      </c>
      <c r="E117" s="14">
        <f>data!Z71</f>
        <v>0</v>
      </c>
      <c r="F117" s="14">
        <f>data!AA71</f>
        <v>0</v>
      </c>
      <c r="G117" s="14">
        <f>data!AB71</f>
        <v>355359</v>
      </c>
      <c r="H117" s="14">
        <f>data!AC71</f>
        <v>433191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07"/>
      <c r="D118" s="207"/>
      <c r="E118" s="207"/>
      <c r="F118" s="207"/>
      <c r="G118" s="207"/>
      <c r="H118" s="207"/>
      <c r="I118" s="207"/>
    </row>
    <row r="119" spans="1:9" ht="20.100000000000001" customHeight="1" x14ac:dyDescent="0.25">
      <c r="A119" s="23">
        <v>18</v>
      </c>
      <c r="B119" s="14" t="s">
        <v>917</v>
      </c>
      <c r="C119" s="48">
        <f>+data!M689</f>
        <v>0</v>
      </c>
      <c r="D119" s="48">
        <f>+data!M690</f>
        <v>262202</v>
      </c>
      <c r="E119" s="48">
        <f>+data!M691</f>
        <v>0</v>
      </c>
      <c r="F119" s="48">
        <f>+data!M692</f>
        <v>0</v>
      </c>
      <c r="G119" s="48">
        <f>+data!M693</f>
        <v>175816</v>
      </c>
      <c r="H119" s="48">
        <f>+data!M694</f>
        <v>175012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918</v>
      </c>
      <c r="C120" s="14">
        <f>data!X73</f>
        <v>0</v>
      </c>
      <c r="D120" s="14">
        <f>data!Y73</f>
        <v>142489</v>
      </c>
      <c r="E120" s="14">
        <f>data!Z73</f>
        <v>0</v>
      </c>
      <c r="F120" s="14">
        <f>data!AA73</f>
        <v>0</v>
      </c>
      <c r="G120" s="14">
        <f>data!AB73</f>
        <v>755676</v>
      </c>
      <c r="H120" s="14">
        <f>data!AC73</f>
        <v>324764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919</v>
      </c>
      <c r="C121" s="14">
        <f>data!X74</f>
        <v>0</v>
      </c>
      <c r="D121" s="14">
        <f>data!Y74</f>
        <v>3457182</v>
      </c>
      <c r="E121" s="14">
        <f>data!Z74</f>
        <v>0</v>
      </c>
      <c r="F121" s="14">
        <f>data!AA74</f>
        <v>0</v>
      </c>
      <c r="G121" s="14">
        <f>data!AB74</f>
        <v>860165</v>
      </c>
      <c r="H121" s="14">
        <f>data!AC74</f>
        <v>138805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920</v>
      </c>
      <c r="C122" s="14">
        <f>data!X75</f>
        <v>0</v>
      </c>
      <c r="D122" s="14">
        <f>data!Y75</f>
        <v>3599671</v>
      </c>
      <c r="E122" s="14">
        <f>data!Z75</f>
        <v>0</v>
      </c>
      <c r="F122" s="14">
        <f>data!AA75</f>
        <v>0</v>
      </c>
      <c r="G122" s="14">
        <f>data!AB75</f>
        <v>1615841</v>
      </c>
      <c r="H122" s="14">
        <f>data!AC75</f>
        <v>463569</v>
      </c>
      <c r="I122" s="14">
        <f>data!AD75</f>
        <v>0</v>
      </c>
    </row>
    <row r="123" spans="1:9" ht="20.100000000000001" customHeight="1" x14ac:dyDescent="0.25">
      <c r="A123" s="23" t="s">
        <v>921</v>
      </c>
      <c r="B123" s="60"/>
      <c r="C123" s="207"/>
      <c r="D123" s="207"/>
      <c r="E123" s="207"/>
      <c r="F123" s="207"/>
      <c r="G123" s="207"/>
      <c r="H123" s="207"/>
      <c r="I123" s="207"/>
    </row>
    <row r="124" spans="1:9" ht="20.100000000000001" customHeight="1" x14ac:dyDescent="0.25">
      <c r="A124" s="23">
        <v>22</v>
      </c>
      <c r="B124" s="14" t="s">
        <v>922</v>
      </c>
      <c r="C124" s="14">
        <f>data!X76</f>
        <v>0</v>
      </c>
      <c r="D124" s="14">
        <f>data!Y76</f>
        <v>3221</v>
      </c>
      <c r="E124" s="14">
        <f>data!Z76</f>
        <v>0</v>
      </c>
      <c r="F124" s="14">
        <f>data!AA76</f>
        <v>0</v>
      </c>
      <c r="G124" s="14">
        <f>data!AB76</f>
        <v>300</v>
      </c>
      <c r="H124" s="14">
        <f>data!AC76</f>
        <v>103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923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924</v>
      </c>
      <c r="C126" s="14">
        <f>data!X78</f>
        <v>0</v>
      </c>
      <c r="D126" s="14">
        <f>data!Y78</f>
        <v>3221</v>
      </c>
      <c r="E126" s="14">
        <f>data!Z78</f>
        <v>0</v>
      </c>
      <c r="F126" s="14">
        <f>data!AA78</f>
        <v>0</v>
      </c>
      <c r="G126" s="14">
        <f>data!AB78</f>
        <v>300</v>
      </c>
      <c r="H126" s="14">
        <f>data!AC78</f>
        <v>103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925</v>
      </c>
      <c r="C127" s="14">
        <f>data!X79</f>
        <v>0</v>
      </c>
      <c r="D127" s="14">
        <f>data!Y79</f>
        <v>2035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909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939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Shriners Hospitals for Children - Spokane</v>
      </c>
      <c r="B132" s="77"/>
      <c r="C132" s="77"/>
      <c r="D132" s="77"/>
      <c r="E132" s="77"/>
      <c r="F132" s="77"/>
      <c r="G132" s="80"/>
      <c r="H132" s="79" t="str">
        <f>"FYE: "&amp;data!C82</f>
        <v>FYE: 12/31/2019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911</v>
      </c>
      <c r="C134" s="18" t="s">
        <v>96</v>
      </c>
      <c r="D134" s="18" t="s">
        <v>97</v>
      </c>
      <c r="E134" s="18" t="s">
        <v>118</v>
      </c>
      <c r="F134" s="25"/>
      <c r="G134" s="18" t="s">
        <v>940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915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941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4.45</v>
      </c>
      <c r="D138" s="26">
        <f>data!AF60</f>
        <v>0</v>
      </c>
      <c r="E138" s="26">
        <f>data!AG60</f>
        <v>0</v>
      </c>
      <c r="F138" s="26">
        <f>data!AH60</f>
        <v>0</v>
      </c>
      <c r="G138" s="26">
        <f>data!AI60</f>
        <v>0</v>
      </c>
      <c r="H138" s="26">
        <f>data!AJ60</f>
        <v>10.66</v>
      </c>
      <c r="I138" s="26">
        <f>data!AK60</f>
        <v>7.49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387182</v>
      </c>
      <c r="D139" s="14">
        <f>data!AF61</f>
        <v>0</v>
      </c>
      <c r="E139" s="14">
        <f>data!AG61</f>
        <v>0</v>
      </c>
      <c r="F139" s="14">
        <f>data!AH61</f>
        <v>0</v>
      </c>
      <c r="G139" s="14">
        <f>data!AI61</f>
        <v>0</v>
      </c>
      <c r="H139" s="14">
        <f>data!AJ61</f>
        <v>664862</v>
      </c>
      <c r="I139" s="14">
        <f>data!AK61</f>
        <v>654009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125053</v>
      </c>
      <c r="D140" s="14">
        <f>data!AF62</f>
        <v>0</v>
      </c>
      <c r="E140" s="14">
        <f>data!AG62</f>
        <v>0</v>
      </c>
      <c r="F140" s="14">
        <f>data!AH62</f>
        <v>0</v>
      </c>
      <c r="G140" s="14">
        <f>data!AI62</f>
        <v>0</v>
      </c>
      <c r="H140" s="14">
        <f>data!AJ62</f>
        <v>214739</v>
      </c>
      <c r="I140" s="14">
        <f>data!AK62</f>
        <v>211234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0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0</v>
      </c>
      <c r="D142" s="14">
        <f>data!AF64</f>
        <v>0</v>
      </c>
      <c r="E142" s="14">
        <f>data!AG64</f>
        <v>0</v>
      </c>
      <c r="F142" s="14">
        <f>data!AH64</f>
        <v>0</v>
      </c>
      <c r="G142" s="14">
        <f>data!AI64</f>
        <v>0</v>
      </c>
      <c r="H142" s="14">
        <f>data!AJ64</f>
        <v>0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0</v>
      </c>
      <c r="D144" s="14">
        <f>data!AF66</f>
        <v>0</v>
      </c>
      <c r="E144" s="14">
        <f>data!AG66</f>
        <v>0</v>
      </c>
      <c r="F144" s="14">
        <f>data!AH66</f>
        <v>0</v>
      </c>
      <c r="G144" s="14">
        <f>data!AI66</f>
        <v>0</v>
      </c>
      <c r="H144" s="14">
        <f>data!AJ66</f>
        <v>0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59983</v>
      </c>
      <c r="D145" s="14">
        <f>data!AF67</f>
        <v>0</v>
      </c>
      <c r="E145" s="14">
        <f>data!AG67</f>
        <v>0</v>
      </c>
      <c r="F145" s="14">
        <f>data!AH67</f>
        <v>0</v>
      </c>
      <c r="G145" s="14">
        <f>data!AI67</f>
        <v>0</v>
      </c>
      <c r="H145" s="14">
        <f>data!AJ67</f>
        <v>101986</v>
      </c>
      <c r="I145" s="14">
        <f>data!AK67</f>
        <v>94002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0</v>
      </c>
      <c r="D147" s="14">
        <f>data!AF69</f>
        <v>0</v>
      </c>
      <c r="E147" s="14">
        <f>data!AG69</f>
        <v>0</v>
      </c>
      <c r="F147" s="14">
        <f>data!AH69</f>
        <v>0</v>
      </c>
      <c r="G147" s="14">
        <f>data!AI69</f>
        <v>0</v>
      </c>
      <c r="H147" s="14">
        <f>data!AJ69</f>
        <v>0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916</v>
      </c>
      <c r="C149" s="14">
        <f>data!AE71</f>
        <v>572218</v>
      </c>
      <c r="D149" s="14">
        <f>data!AF71</f>
        <v>0</v>
      </c>
      <c r="E149" s="14">
        <f>data!AG71</f>
        <v>0</v>
      </c>
      <c r="F149" s="14">
        <f>data!AH71</f>
        <v>0</v>
      </c>
      <c r="G149" s="14">
        <f>data!AI71</f>
        <v>0</v>
      </c>
      <c r="H149" s="14">
        <f>data!AJ71</f>
        <v>981587</v>
      </c>
      <c r="I149" s="14">
        <f>data!AK71</f>
        <v>959245</v>
      </c>
    </row>
    <row r="150" spans="1:9" ht="20.100000000000001" customHeight="1" x14ac:dyDescent="0.25">
      <c r="A150" s="23">
        <v>17</v>
      </c>
      <c r="B150" s="14" t="s">
        <v>244</v>
      </c>
      <c r="C150" s="207"/>
      <c r="D150" s="207"/>
      <c r="E150" s="207"/>
      <c r="F150" s="207"/>
      <c r="G150" s="207"/>
      <c r="H150" s="207"/>
      <c r="I150" s="207"/>
    </row>
    <row r="151" spans="1:9" ht="20.100000000000001" customHeight="1" x14ac:dyDescent="0.25">
      <c r="A151" s="23">
        <v>18</v>
      </c>
      <c r="B151" s="14" t="s">
        <v>917</v>
      </c>
      <c r="C151" s="48">
        <f>+data!M696</f>
        <v>155128</v>
      </c>
      <c r="D151" s="48">
        <f>+data!M697</f>
        <v>0</v>
      </c>
      <c r="E151" s="48">
        <f>+data!M698</f>
        <v>0</v>
      </c>
      <c r="F151" s="48">
        <f>+data!M699</f>
        <v>0</v>
      </c>
      <c r="G151" s="48">
        <f>+data!M700</f>
        <v>0</v>
      </c>
      <c r="H151" s="48">
        <f>+data!M701</f>
        <v>633410</v>
      </c>
      <c r="I151" s="48">
        <f>+data!M702</f>
        <v>197611</v>
      </c>
    </row>
    <row r="152" spans="1:9" ht="20.100000000000001" customHeight="1" x14ac:dyDescent="0.25">
      <c r="A152" s="23">
        <v>19</v>
      </c>
      <c r="B152" s="48" t="s">
        <v>918</v>
      </c>
      <c r="C152" s="14">
        <f>data!AE73</f>
        <v>123287</v>
      </c>
      <c r="D152" s="14">
        <f>data!AF73</f>
        <v>0</v>
      </c>
      <c r="E152" s="14">
        <f>data!AG73</f>
        <v>0</v>
      </c>
      <c r="F152" s="14">
        <f>data!AH73</f>
        <v>0</v>
      </c>
      <c r="G152" s="14">
        <f>data!AI73</f>
        <v>0</v>
      </c>
      <c r="H152" s="14">
        <f>data!AJ73</f>
        <v>12289</v>
      </c>
      <c r="I152" s="14">
        <f>data!AK73</f>
        <v>817</v>
      </c>
    </row>
    <row r="153" spans="1:9" ht="20.100000000000001" customHeight="1" x14ac:dyDescent="0.25">
      <c r="A153" s="23">
        <v>20</v>
      </c>
      <c r="B153" s="48" t="s">
        <v>919</v>
      </c>
      <c r="C153" s="14">
        <f>data!AE74</f>
        <v>1111497</v>
      </c>
      <c r="D153" s="14">
        <f>data!AF74</f>
        <v>0</v>
      </c>
      <c r="E153" s="14">
        <f>data!AG74</f>
        <v>0</v>
      </c>
      <c r="F153" s="14">
        <f>data!AH74</f>
        <v>0</v>
      </c>
      <c r="G153" s="14">
        <f>data!AI74</f>
        <v>0</v>
      </c>
      <c r="H153" s="14">
        <f>data!AJ74</f>
        <v>3828588</v>
      </c>
      <c r="I153" s="14">
        <f>data!AK74</f>
        <v>227999</v>
      </c>
    </row>
    <row r="154" spans="1:9" ht="20.100000000000001" customHeight="1" x14ac:dyDescent="0.25">
      <c r="A154" s="23">
        <v>21</v>
      </c>
      <c r="B154" s="48" t="s">
        <v>920</v>
      </c>
      <c r="C154" s="14">
        <f>data!AE75</f>
        <v>1234784</v>
      </c>
      <c r="D154" s="14">
        <f>data!AF75</f>
        <v>0</v>
      </c>
      <c r="E154" s="14">
        <f>data!AG75</f>
        <v>0</v>
      </c>
      <c r="F154" s="14">
        <f>data!AH75</f>
        <v>0</v>
      </c>
      <c r="G154" s="14">
        <f>data!AI75</f>
        <v>0</v>
      </c>
      <c r="H154" s="14">
        <f>data!AJ75</f>
        <v>3840877</v>
      </c>
      <c r="I154" s="14">
        <f>data!AK75</f>
        <v>228816</v>
      </c>
    </row>
    <row r="155" spans="1:9" ht="20.100000000000001" customHeight="1" x14ac:dyDescent="0.25">
      <c r="A155" s="23" t="s">
        <v>921</v>
      </c>
      <c r="B155" s="60"/>
      <c r="C155" s="207"/>
      <c r="D155" s="207"/>
      <c r="E155" s="207"/>
      <c r="F155" s="207"/>
      <c r="G155" s="207"/>
      <c r="H155" s="207"/>
      <c r="I155" s="207"/>
    </row>
    <row r="156" spans="1:9" ht="20.100000000000001" customHeight="1" x14ac:dyDescent="0.25">
      <c r="A156" s="23">
        <v>22</v>
      </c>
      <c r="B156" s="14" t="s">
        <v>922</v>
      </c>
      <c r="C156" s="14">
        <f>data!AE76</f>
        <v>5221</v>
      </c>
      <c r="D156" s="14">
        <f>data!AF76</f>
        <v>0</v>
      </c>
      <c r="E156" s="14">
        <f>data!AG76</f>
        <v>0</v>
      </c>
      <c r="F156" s="14">
        <f>data!AH76</f>
        <v>0</v>
      </c>
      <c r="G156" s="14">
        <f>data!AI76</f>
        <v>0</v>
      </c>
      <c r="H156" s="14">
        <f>data!AJ76</f>
        <v>8877</v>
      </c>
      <c r="I156" s="14">
        <f>data!AK76</f>
        <v>8182</v>
      </c>
    </row>
    <row r="157" spans="1:9" ht="20.100000000000001" customHeight="1" x14ac:dyDescent="0.25">
      <c r="A157" s="23">
        <v>23</v>
      </c>
      <c r="B157" s="14" t="s">
        <v>923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924</v>
      </c>
      <c r="C158" s="14">
        <f>data!AE78</f>
        <v>5221</v>
      </c>
      <c r="D158" s="14">
        <f>data!AF78</f>
        <v>0</v>
      </c>
      <c r="E158" s="14">
        <f>data!AG78</f>
        <v>0</v>
      </c>
      <c r="F158" s="14">
        <f>data!AH78</f>
        <v>0</v>
      </c>
      <c r="G158" s="14">
        <f>data!AI78</f>
        <v>0</v>
      </c>
      <c r="H158" s="14">
        <f>data!AJ78</f>
        <v>8877</v>
      </c>
      <c r="I158" s="14">
        <f>data!AK78</f>
        <v>8182</v>
      </c>
    </row>
    <row r="159" spans="1:9" ht="20.100000000000001" customHeight="1" x14ac:dyDescent="0.25">
      <c r="A159" s="23">
        <v>25</v>
      </c>
      <c r="B159" s="14" t="s">
        <v>925</v>
      </c>
      <c r="C159" s="14">
        <f>data!AE79</f>
        <v>372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4640</v>
      </c>
      <c r="I159" s="14">
        <f>data!AK79</f>
        <v>1044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0</v>
      </c>
      <c r="F160" s="26">
        <f>data!AH80</f>
        <v>0</v>
      </c>
      <c r="G160" s="26">
        <f>data!AI80</f>
        <v>0</v>
      </c>
      <c r="H160" s="26">
        <f>data!AJ80</f>
        <v>10.66</v>
      </c>
      <c r="I160" s="26">
        <f>data!AK80</f>
        <v>0</v>
      </c>
    </row>
    <row r="161" spans="1:9" ht="20.100000000000001" customHeight="1" x14ac:dyDescent="0.25">
      <c r="A161" s="4" t="s">
        <v>909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942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Shriners Hospitals for Children - Spokane</v>
      </c>
      <c r="B164" s="77"/>
      <c r="C164" s="77"/>
      <c r="D164" s="77"/>
      <c r="E164" s="77"/>
      <c r="F164" s="77"/>
      <c r="G164" s="80"/>
      <c r="H164" s="79" t="str">
        <f>"FYE: "&amp;data!C82</f>
        <v>FYE: 12/31/2019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911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943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944</v>
      </c>
      <c r="F167" s="18" t="s">
        <v>182</v>
      </c>
      <c r="G167" s="18" t="s">
        <v>121</v>
      </c>
      <c r="H167" s="88" t="s">
        <v>945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915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916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07"/>
      <c r="D182" s="207"/>
      <c r="E182" s="207"/>
      <c r="F182" s="207"/>
      <c r="G182" s="207"/>
      <c r="H182" s="207"/>
      <c r="I182" s="207"/>
    </row>
    <row r="183" spans="1:9" ht="20.100000000000001" customHeight="1" x14ac:dyDescent="0.25">
      <c r="A183" s="23">
        <v>18</v>
      </c>
      <c r="B183" s="14" t="s">
        <v>917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918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919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920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921</v>
      </c>
      <c r="B187" s="60"/>
      <c r="C187" s="207"/>
      <c r="D187" s="207"/>
      <c r="E187" s="207"/>
      <c r="F187" s="207"/>
      <c r="G187" s="207"/>
      <c r="H187" s="207"/>
      <c r="I187" s="207"/>
    </row>
    <row r="188" spans="1:9" ht="20.100000000000001" customHeight="1" x14ac:dyDescent="0.25">
      <c r="A188" s="23">
        <v>22</v>
      </c>
      <c r="B188" s="14" t="s">
        <v>922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923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924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925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909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946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Shriners Hospitals for Children - Spokane</v>
      </c>
      <c r="B196" s="77"/>
      <c r="C196" s="77"/>
      <c r="D196" s="77"/>
      <c r="E196" s="77"/>
      <c r="F196" s="77"/>
      <c r="G196" s="80"/>
      <c r="H196" s="79" t="str">
        <f>"FYE: "&amp;data!C82</f>
        <v>FYE: 12/31/2019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911</v>
      </c>
      <c r="C198" s="25"/>
      <c r="D198" s="18" t="s">
        <v>130</v>
      </c>
      <c r="E198" s="18" t="s">
        <v>131</v>
      </c>
      <c r="F198" s="18" t="s">
        <v>132</v>
      </c>
      <c r="G198" s="18" t="s">
        <v>947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948</v>
      </c>
      <c r="E199" s="18" t="s">
        <v>949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915</v>
      </c>
      <c r="C200" s="15" t="s">
        <v>226</v>
      </c>
      <c r="D200" s="15" t="s">
        <v>948</v>
      </c>
      <c r="E200" s="15" t="s">
        <v>228</v>
      </c>
      <c r="F200" s="208"/>
      <c r="G200" s="208"/>
      <c r="H200" s="208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08"/>
      <c r="G201" s="208"/>
      <c r="H201" s="208"/>
      <c r="I201" s="14">
        <f>data!AY59</f>
        <v>3493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0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0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0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0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0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50608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0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916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50608</v>
      </c>
    </row>
    <row r="214" spans="1:9" ht="20.100000000000001" customHeight="1" x14ac:dyDescent="0.25">
      <c r="A214" s="23">
        <v>17</v>
      </c>
      <c r="B214" s="14" t="s">
        <v>244</v>
      </c>
      <c r="C214" s="207"/>
      <c r="D214" s="207"/>
      <c r="E214" s="207"/>
      <c r="F214" s="207"/>
      <c r="G214" s="207"/>
      <c r="H214" s="207"/>
      <c r="I214" s="207"/>
    </row>
    <row r="215" spans="1:9" ht="20.100000000000001" customHeight="1" x14ac:dyDescent="0.25">
      <c r="A215" s="23">
        <v>18</v>
      </c>
      <c r="B215" s="14" t="s">
        <v>917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0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918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09" t="str">
        <f>IF(data!AW73&gt;0,data!AW73,"")</f>
        <v>x</v>
      </c>
      <c r="H216" s="209" t="str">
        <f>IF(data!AX73&gt;0,data!AX73,"")</f>
        <v>x</v>
      </c>
      <c r="I216" s="209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919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09" t="str">
        <f>IF(data!AW74&gt;0,data!AW74,"")</f>
        <v>x</v>
      </c>
      <c r="H217" s="209" t="str">
        <f>IF(data!AX74&gt;0,data!AX74,"")</f>
        <v>x</v>
      </c>
      <c r="I217" s="209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920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09" t="str">
        <f>IF(data!AW75&gt;0,data!AW75,"")</f>
        <v>x</v>
      </c>
      <c r="H218" s="209" t="str">
        <f>IF(data!AX75&gt;0,data!AX75,"")</f>
        <v>x</v>
      </c>
      <c r="I218" s="209" t="str">
        <f>IF(data!AY75&gt;0,data!AY75,"")</f>
        <v>x</v>
      </c>
    </row>
    <row r="219" spans="1:9" ht="20.100000000000001" customHeight="1" x14ac:dyDescent="0.25">
      <c r="A219" s="23" t="s">
        <v>921</v>
      </c>
      <c r="B219" s="60"/>
      <c r="C219" s="207"/>
      <c r="D219" s="207"/>
      <c r="E219" s="207"/>
      <c r="F219" s="207"/>
      <c r="G219" s="207"/>
      <c r="H219" s="207"/>
      <c r="I219" s="207"/>
    </row>
    <row r="220" spans="1:9" ht="20.100000000000001" customHeight="1" x14ac:dyDescent="0.25">
      <c r="A220" s="23">
        <v>22</v>
      </c>
      <c r="B220" s="14" t="s">
        <v>922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4405</v>
      </c>
    </row>
    <row r="221" spans="1:9" ht="20.100000000000001" customHeight="1" x14ac:dyDescent="0.25">
      <c r="A221" s="23">
        <v>23</v>
      </c>
      <c r="B221" s="14" t="s">
        <v>923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09" t="str">
        <f>IF(data!AX77&gt;0,data!AX77,"")</f>
        <v>x</v>
      </c>
      <c r="I221" s="209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924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09" t="str">
        <f>IF(data!AX78&gt;0,data!AX78,"")</f>
        <v>x</v>
      </c>
      <c r="I222" s="209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925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09" t="str">
        <f>IF(data!AX79&gt;0,data!AX79,"")</f>
        <v>x</v>
      </c>
      <c r="I223" s="209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09" t="str">
        <f>IF(data!AW80&gt;0,data!AW80,"")</f>
        <v>x</v>
      </c>
      <c r="H224" s="209" t="str">
        <f>IF(data!AX80&gt;0,data!AX80,"")</f>
        <v>x</v>
      </c>
      <c r="I224" s="209" t="str">
        <f>IF(data!AY80&gt;0,data!AY80,"")</f>
        <v>x</v>
      </c>
    </row>
    <row r="225" spans="1:9" ht="20.100000000000001" customHeight="1" x14ac:dyDescent="0.25">
      <c r="A225" s="4" t="s">
        <v>909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950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Shriners Hospitals for Children - Spokane</v>
      </c>
      <c r="B228" s="77"/>
      <c r="C228" s="77"/>
      <c r="D228" s="77"/>
      <c r="E228" s="77"/>
      <c r="F228" s="77"/>
      <c r="G228" s="80"/>
      <c r="H228" s="79" t="str">
        <f>"FYE: "&amp;data!C82</f>
        <v>FYE: 12/31/2019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911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951</v>
      </c>
      <c r="F231" s="18" t="s">
        <v>952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915</v>
      </c>
      <c r="C232" s="15" t="s">
        <v>953</v>
      </c>
      <c r="D232" s="15" t="s">
        <v>954</v>
      </c>
      <c r="E232" s="208"/>
      <c r="F232" s="208"/>
      <c r="G232" s="208"/>
      <c r="H232" s="15" t="s">
        <v>232</v>
      </c>
      <c r="I232" s="208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11034</v>
      </c>
      <c r="D233" s="14">
        <f>data!BA59</f>
        <v>0</v>
      </c>
      <c r="E233" s="208"/>
      <c r="F233" s="208"/>
      <c r="G233" s="208"/>
      <c r="H233" s="14">
        <f>data!BE59</f>
        <v>88741</v>
      </c>
      <c r="I233" s="208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0</v>
      </c>
      <c r="F234" s="26">
        <f>data!BC60</f>
        <v>0</v>
      </c>
      <c r="G234" s="26">
        <f>data!BD60</f>
        <v>0</v>
      </c>
      <c r="H234" s="26">
        <f>data!BE60</f>
        <v>0</v>
      </c>
      <c r="I234" s="26">
        <f>data!BF60</f>
        <v>0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240712</v>
      </c>
      <c r="D235" s="14">
        <f>data!BA61</f>
        <v>0</v>
      </c>
      <c r="E235" s="14">
        <f>data!BB61</f>
        <v>564496</v>
      </c>
      <c r="F235" s="14">
        <f>data!BC61</f>
        <v>0</v>
      </c>
      <c r="G235" s="14">
        <f>data!BD61</f>
        <v>0</v>
      </c>
      <c r="H235" s="14">
        <f>data!BE61</f>
        <v>0</v>
      </c>
      <c r="I235" s="14">
        <f>data!BF61</f>
        <v>318139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77746</v>
      </c>
      <c r="D236" s="14">
        <f>data!BA62</f>
        <v>0</v>
      </c>
      <c r="E236" s="14">
        <f>data!BB62</f>
        <v>182323</v>
      </c>
      <c r="F236" s="14">
        <f>data!BC62</f>
        <v>0</v>
      </c>
      <c r="G236" s="14">
        <f>data!BD62</f>
        <v>0</v>
      </c>
      <c r="H236" s="14">
        <f>data!BE62</f>
        <v>0</v>
      </c>
      <c r="I236" s="14">
        <f>data!BF62</f>
        <v>102754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0</v>
      </c>
      <c r="F238" s="14">
        <f>data!BC64</f>
        <v>0</v>
      </c>
      <c r="G238" s="14">
        <f>data!BD64</f>
        <v>0</v>
      </c>
      <c r="H238" s="14">
        <f>data!BE64</f>
        <v>0</v>
      </c>
      <c r="I238" s="14">
        <f>data!BF64</f>
        <v>0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0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0</v>
      </c>
      <c r="I240" s="14">
        <f>data!BF66</f>
        <v>0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16532</v>
      </c>
      <c r="D241" s="14">
        <f>data!BA67</f>
        <v>18543</v>
      </c>
      <c r="E241" s="14">
        <f>data!BB67</f>
        <v>21909</v>
      </c>
      <c r="F241" s="14">
        <f>data!BC67</f>
        <v>0</v>
      </c>
      <c r="G241" s="14">
        <f>data!BD67</f>
        <v>2815</v>
      </c>
      <c r="H241" s="14">
        <f>data!BE67</f>
        <v>96414</v>
      </c>
      <c r="I241" s="14">
        <f>data!BF67</f>
        <v>8295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0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0</v>
      </c>
      <c r="H243" s="14">
        <f>data!BE69</f>
        <v>0</v>
      </c>
      <c r="I243" s="14">
        <f>data!BF69</f>
        <v>0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916</v>
      </c>
      <c r="C245" s="14">
        <f>data!AZ71</f>
        <v>334990</v>
      </c>
      <c r="D245" s="14">
        <f>data!BA71</f>
        <v>18543</v>
      </c>
      <c r="E245" s="14">
        <f>data!BB71</f>
        <v>768728</v>
      </c>
      <c r="F245" s="14">
        <f>data!BC71</f>
        <v>0</v>
      </c>
      <c r="G245" s="14">
        <f>data!BD71</f>
        <v>2815</v>
      </c>
      <c r="H245" s="14">
        <f>data!BE71</f>
        <v>96414</v>
      </c>
      <c r="I245" s="14">
        <f>data!BF71</f>
        <v>429188</v>
      </c>
    </row>
    <row r="246" spans="1:9" ht="20.100000000000001" customHeight="1" x14ac:dyDescent="0.25">
      <c r="A246" s="23">
        <v>17</v>
      </c>
      <c r="B246" s="14" t="s">
        <v>244</v>
      </c>
      <c r="C246" s="207"/>
      <c r="D246" s="207"/>
      <c r="E246" s="207"/>
      <c r="F246" s="207"/>
      <c r="G246" s="207"/>
      <c r="H246" s="207"/>
      <c r="I246" s="207"/>
    </row>
    <row r="247" spans="1:9" ht="20.100000000000001" customHeight="1" x14ac:dyDescent="0.25">
      <c r="A247" s="23">
        <v>18</v>
      </c>
      <c r="B247" s="14" t="s">
        <v>917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918</v>
      </c>
      <c r="C248" s="209" t="str">
        <f>IF(data!AZ73&gt;0,data!AZ73,"")</f>
        <v>x</v>
      </c>
      <c r="D248" s="209" t="str">
        <f>IF(data!BA73&gt;0,data!BA73,"")</f>
        <v>x</v>
      </c>
      <c r="E248" s="209" t="str">
        <f>IF(data!BB73&gt;0,data!BB73,"")</f>
        <v>x</v>
      </c>
      <c r="F248" s="209" t="str">
        <f>IF(data!BC73&gt;0,data!BC73,"")</f>
        <v>x</v>
      </c>
      <c r="G248" s="209" t="str">
        <f>IF(data!BD73&gt;0,data!BD73,"")</f>
        <v>x</v>
      </c>
      <c r="H248" s="209" t="str">
        <f>IF(data!BE73&gt;0,data!BE73,"")</f>
        <v>x</v>
      </c>
      <c r="I248" s="209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919</v>
      </c>
      <c r="C249" s="209" t="str">
        <f>IF(data!AZ74&gt;0,data!AZ74,"")</f>
        <v>x</v>
      </c>
      <c r="D249" s="209" t="str">
        <f>IF(data!BA74&gt;0,data!BA74,"")</f>
        <v>x</v>
      </c>
      <c r="E249" s="209" t="str">
        <f>IF(data!BB74&gt;0,data!BB74,"")</f>
        <v>x</v>
      </c>
      <c r="F249" s="209" t="str">
        <f>IF(data!BC74&gt;0,data!BC74,"")</f>
        <v>x</v>
      </c>
      <c r="G249" s="209" t="str">
        <f>IF(data!BD74&gt;0,data!BD74,"")</f>
        <v>x</v>
      </c>
      <c r="H249" s="209" t="str">
        <f>IF(data!BE74&gt;0,data!BE74,"")</f>
        <v>x</v>
      </c>
      <c r="I249" s="209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920</v>
      </c>
      <c r="C250" s="209" t="str">
        <f>IF(data!AZ75&gt;0,data!AZ75,"")</f>
        <v>x</v>
      </c>
      <c r="D250" s="209" t="str">
        <f>IF(data!BA75&gt;0,data!BA75,"")</f>
        <v>x</v>
      </c>
      <c r="E250" s="209" t="str">
        <f>IF(data!BB75&gt;0,data!BB75,"")</f>
        <v>x</v>
      </c>
      <c r="F250" s="209" t="str">
        <f>IF(data!BC75&gt;0,data!BC75,"")</f>
        <v>x</v>
      </c>
      <c r="G250" s="209" t="str">
        <f>IF(data!BD75&gt;0,data!BD75,"")</f>
        <v>x</v>
      </c>
      <c r="H250" s="209" t="str">
        <f>IF(data!BE75&gt;0,data!BE75,"")</f>
        <v>x</v>
      </c>
      <c r="I250" s="209" t="str">
        <f>IF(data!BF75&gt;0,data!BF75,"")</f>
        <v>x</v>
      </c>
    </row>
    <row r="251" spans="1:9" ht="20.100000000000001" customHeight="1" x14ac:dyDescent="0.25">
      <c r="A251" s="23" t="s">
        <v>921</v>
      </c>
      <c r="B251" s="60"/>
      <c r="C251" s="207"/>
      <c r="D251" s="207"/>
      <c r="E251" s="207"/>
      <c r="F251" s="207"/>
      <c r="G251" s="207"/>
      <c r="H251" s="207"/>
      <c r="I251" s="207"/>
    </row>
    <row r="252" spans="1:9" ht="20.100000000000001" customHeight="1" x14ac:dyDescent="0.25">
      <c r="A252" s="23">
        <v>22</v>
      </c>
      <c r="B252" s="14" t="s">
        <v>922</v>
      </c>
      <c r="C252" s="85">
        <f>data!AZ76</f>
        <v>1439</v>
      </c>
      <c r="D252" s="85">
        <f>data!BA76</f>
        <v>1614</v>
      </c>
      <c r="E252" s="85">
        <f>data!BB76</f>
        <v>1907</v>
      </c>
      <c r="F252" s="85">
        <f>data!BC76</f>
        <v>0</v>
      </c>
      <c r="G252" s="85">
        <f>data!BD76</f>
        <v>245</v>
      </c>
      <c r="H252" s="85">
        <f>data!BE76</f>
        <v>8392</v>
      </c>
      <c r="I252" s="85">
        <f>data!BF76</f>
        <v>722</v>
      </c>
    </row>
    <row r="253" spans="1:9" ht="20.100000000000001" customHeight="1" x14ac:dyDescent="0.25">
      <c r="A253" s="23">
        <v>23</v>
      </c>
      <c r="B253" s="14" t="s">
        <v>923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09" t="str">
        <f>IF(data!BD77&gt;0,data!BD77,"")</f>
        <v>x</v>
      </c>
      <c r="H253" s="209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924</v>
      </c>
      <c r="C254" s="209" t="str">
        <f>IF(data!AZ78&gt;0,data!AZ78,"")</f>
        <v>x</v>
      </c>
      <c r="D254" s="85">
        <f>data!BA78</f>
        <v>1614</v>
      </c>
      <c r="E254" s="85">
        <f>data!BB78</f>
        <v>1907</v>
      </c>
      <c r="F254" s="85">
        <f>data!BC78</f>
        <v>0</v>
      </c>
      <c r="G254" s="209" t="str">
        <f>IF(data!BD78&gt;0,data!BD78,"")</f>
        <v>x</v>
      </c>
      <c r="H254" s="209" t="str">
        <f>IF(data!BE78&gt;0,data!BE78,"")</f>
        <v>x</v>
      </c>
      <c r="I254" s="209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925</v>
      </c>
      <c r="C255" s="209" t="str">
        <f>IF(data!AZ79&gt;0,data!AZ79,"")</f>
        <v>x</v>
      </c>
      <c r="D255" s="209" t="str">
        <f>IF(data!BA79&gt;0,data!BA79,"")</f>
        <v>x</v>
      </c>
      <c r="E255" s="85">
        <f>data!BB79</f>
        <v>0</v>
      </c>
      <c r="F255" s="85">
        <f>data!BC79</f>
        <v>0</v>
      </c>
      <c r="G255" s="209" t="str">
        <f>IF(data!BD79&gt;0,data!BD79,"")</f>
        <v>x</v>
      </c>
      <c r="H255" s="209" t="str">
        <f>IF(data!BE79&gt;0,data!BE79,"")</f>
        <v>x</v>
      </c>
      <c r="I255" s="209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09" t="str">
        <f>IF(data!AZ80&gt;0,data!AZ80,"")</f>
        <v>x</v>
      </c>
      <c r="D256" s="209" t="str">
        <f>IF(data!BA80&gt;0,data!BA80,"")</f>
        <v>x</v>
      </c>
      <c r="E256" s="209" t="str">
        <f>IF(data!BB80&gt;0,data!BB80,"")</f>
        <v>x</v>
      </c>
      <c r="F256" s="209" t="str">
        <f>IF(data!BC80&gt;0,data!BC80,"")</f>
        <v>x</v>
      </c>
      <c r="G256" s="209" t="str">
        <f>IF(data!BD80&gt;0,data!BD80,"")</f>
        <v>x</v>
      </c>
      <c r="H256" s="209" t="str">
        <f>IF(data!BE80&gt;0,data!BE80,"")</f>
        <v>x</v>
      </c>
      <c r="I256" s="209" t="str">
        <f>IF(data!BF80&gt;0,data!BF80,"")</f>
        <v>x</v>
      </c>
    </row>
    <row r="257" spans="1:9" ht="20.100000000000001" customHeight="1" x14ac:dyDescent="0.25">
      <c r="A257" s="4" t="s">
        <v>909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955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Shriners Hospitals for Children - Spokane</v>
      </c>
      <c r="B260" s="77"/>
      <c r="C260" s="77"/>
      <c r="D260" s="77"/>
      <c r="E260" s="77"/>
      <c r="F260" s="77"/>
      <c r="G260" s="80"/>
      <c r="H260" s="79" t="str">
        <f>"FYE: "&amp;data!C82</f>
        <v>FYE: 12/31/2019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911</v>
      </c>
      <c r="C262" s="18" t="s">
        <v>956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957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958</v>
      </c>
    </row>
    <row r="264" spans="1:9" ht="20.100000000000001" customHeight="1" x14ac:dyDescent="0.25">
      <c r="A264" s="23">
        <v>3</v>
      </c>
      <c r="B264" s="14" t="s">
        <v>915</v>
      </c>
      <c r="C264" s="208"/>
      <c r="D264" s="208"/>
      <c r="E264" s="208"/>
      <c r="F264" s="208"/>
      <c r="G264" s="208"/>
      <c r="H264" s="208"/>
      <c r="I264" s="208"/>
    </row>
    <row r="265" spans="1:9" ht="20.100000000000001" customHeight="1" x14ac:dyDescent="0.25">
      <c r="A265" s="23">
        <v>4</v>
      </c>
      <c r="B265" s="14" t="s">
        <v>233</v>
      </c>
      <c r="C265" s="208"/>
      <c r="D265" s="208"/>
      <c r="E265" s="208"/>
      <c r="F265" s="208"/>
      <c r="G265" s="208"/>
      <c r="H265" s="208"/>
      <c r="I265" s="208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0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0</v>
      </c>
      <c r="F272" s="14">
        <f>data!BJ66</f>
        <v>0</v>
      </c>
      <c r="G272" s="14">
        <f>data!BK66</f>
        <v>0</v>
      </c>
      <c r="H272" s="14">
        <f>data!BL66</f>
        <v>0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916</v>
      </c>
      <c r="C277" s="14">
        <f>data!BG71</f>
        <v>0</v>
      </c>
      <c r="D277" s="14">
        <f>data!BH71</f>
        <v>0</v>
      </c>
      <c r="E277" s="14">
        <f>data!BI71</f>
        <v>0</v>
      </c>
      <c r="F277" s="14">
        <f>data!BJ71</f>
        <v>0</v>
      </c>
      <c r="G277" s="14">
        <f>data!BK71</f>
        <v>0</v>
      </c>
      <c r="H277" s="14">
        <f>data!BL71</f>
        <v>0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07"/>
      <c r="D278" s="207"/>
      <c r="E278" s="207"/>
      <c r="F278" s="207"/>
      <c r="G278" s="207"/>
      <c r="H278" s="207"/>
      <c r="I278" s="207"/>
    </row>
    <row r="279" spans="1:9" ht="20.100000000000001" customHeight="1" x14ac:dyDescent="0.25">
      <c r="A279" s="23">
        <v>18</v>
      </c>
      <c r="B279" s="14" t="s">
        <v>917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918</v>
      </c>
      <c r="C280" s="209" t="str">
        <f>IF(data!BG73&gt;0,data!BG73,"")</f>
        <v>x</v>
      </c>
      <c r="D280" s="209" t="str">
        <f>IF(data!BH73&gt;0,data!BH73,"")</f>
        <v>x</v>
      </c>
      <c r="E280" s="209" t="str">
        <f>IF(data!BI73&gt;0,data!BI73,"")</f>
        <v>x</v>
      </c>
      <c r="F280" s="209" t="str">
        <f>IF(data!BJ73&gt;0,data!BJ73,"")</f>
        <v>x</v>
      </c>
      <c r="G280" s="209" t="str">
        <f>IF(data!BK73&gt;0,data!BK73,"")</f>
        <v>x</v>
      </c>
      <c r="H280" s="209" t="str">
        <f>IF(data!BL73&gt;0,data!BL73,"")</f>
        <v>x</v>
      </c>
      <c r="I280" s="209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919</v>
      </c>
      <c r="C281" s="209" t="str">
        <f>IF(data!BG74&gt;0,data!BG74,"")</f>
        <v>x</v>
      </c>
      <c r="D281" s="209" t="str">
        <f>IF(data!BH74&gt;0,data!BH74,"")</f>
        <v>x</v>
      </c>
      <c r="E281" s="209" t="str">
        <f>IF(data!BI74&gt;0,data!BI74,"")</f>
        <v>x</v>
      </c>
      <c r="F281" s="209" t="str">
        <f>IF(data!BJ74&gt;0,data!BJ74,"")</f>
        <v>x</v>
      </c>
      <c r="G281" s="209" t="str">
        <f>IF(data!BK74&gt;0,data!BK74,"")</f>
        <v>x</v>
      </c>
      <c r="H281" s="209" t="str">
        <f>IF(data!BL74&gt;0,data!BL74,"")</f>
        <v>x</v>
      </c>
      <c r="I281" s="209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920</v>
      </c>
      <c r="C282" s="209" t="str">
        <f>IF(data!BG75&gt;0,data!BG75,"")</f>
        <v>x</v>
      </c>
      <c r="D282" s="209" t="str">
        <f>IF(data!BH75&gt;0,data!BH75,"")</f>
        <v>x</v>
      </c>
      <c r="E282" s="209" t="str">
        <f>IF(data!BI75&gt;0,data!BI75,"")</f>
        <v>x</v>
      </c>
      <c r="F282" s="209" t="str">
        <f>IF(data!BJ75&gt;0,data!BJ75,"")</f>
        <v>x</v>
      </c>
      <c r="G282" s="209" t="str">
        <f>IF(data!BK75&gt;0,data!BK75,"")</f>
        <v>x</v>
      </c>
      <c r="H282" s="209" t="str">
        <f>IF(data!BL75&gt;0,data!BL75,"")</f>
        <v>x</v>
      </c>
      <c r="I282" s="209" t="str">
        <f>IF(data!BM75&gt;0,data!BM75,"")</f>
        <v>x</v>
      </c>
    </row>
    <row r="283" spans="1:9" ht="20.100000000000001" customHeight="1" x14ac:dyDescent="0.25">
      <c r="A283" s="23" t="s">
        <v>921</v>
      </c>
      <c r="B283" s="60"/>
      <c r="C283" s="211"/>
      <c r="D283" s="211"/>
      <c r="E283" s="211"/>
      <c r="F283" s="211"/>
      <c r="G283" s="211"/>
      <c r="H283" s="211"/>
      <c r="I283" s="211"/>
    </row>
    <row r="284" spans="1:9" ht="20.100000000000001" customHeight="1" x14ac:dyDescent="0.25">
      <c r="A284" s="23">
        <v>22</v>
      </c>
      <c r="B284" s="14" t="s">
        <v>922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923</v>
      </c>
      <c r="C285" s="209" t="str">
        <f>IF(data!BG77&gt;0,data!BG77,"")</f>
        <v>x</v>
      </c>
      <c r="D285" s="85">
        <f>data!BH77</f>
        <v>0</v>
      </c>
      <c r="E285" s="85">
        <f>data!BI77</f>
        <v>0</v>
      </c>
      <c r="F285" s="209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924</v>
      </c>
      <c r="C286" s="209" t="str">
        <f>IF(data!BG78&gt;0,data!BG78,"")</f>
        <v>x</v>
      </c>
      <c r="D286" s="85">
        <f>data!BH78</f>
        <v>0</v>
      </c>
      <c r="E286" s="85">
        <f>data!BI78</f>
        <v>0</v>
      </c>
      <c r="F286" s="209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925</v>
      </c>
      <c r="C287" s="209" t="str">
        <f>IF(data!BG79&gt;0,data!BG79,"")</f>
        <v>x</v>
      </c>
      <c r="D287" s="85">
        <f>data!BH79</f>
        <v>0</v>
      </c>
      <c r="E287" s="85">
        <f>data!BI79</f>
        <v>0</v>
      </c>
      <c r="F287" s="209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09" t="str">
        <f>IF(data!BG80&gt;0,data!BG80,"")</f>
        <v>x</v>
      </c>
      <c r="D288" s="209" t="str">
        <f>IF(data!BH80&gt;0,data!BH80,"")</f>
        <v>x</v>
      </c>
      <c r="E288" s="209" t="str">
        <f>IF(data!BI80&gt;0,data!BI80,"")</f>
        <v>x</v>
      </c>
      <c r="F288" s="209" t="str">
        <f>IF(data!BJ80&gt;0,data!BJ80,"")</f>
        <v>x</v>
      </c>
      <c r="G288" s="209" t="str">
        <f>IF(data!BK80&gt;0,data!BK80,"")</f>
        <v>x</v>
      </c>
      <c r="H288" s="209" t="str">
        <f>IF(data!BL80&gt;0,data!BL80,"")</f>
        <v>x</v>
      </c>
      <c r="I288" s="209" t="str">
        <f>IF(data!BM80&gt;0,data!BM80,"")</f>
        <v>x</v>
      </c>
    </row>
    <row r="289" spans="1:9" ht="20.100000000000001" customHeight="1" x14ac:dyDescent="0.25">
      <c r="A289" s="4" t="s">
        <v>909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959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Shriners Hospitals for Children - Spokane</v>
      </c>
      <c r="B292" s="77"/>
      <c r="C292" s="77"/>
      <c r="D292" s="77"/>
      <c r="E292" s="77"/>
      <c r="F292" s="77"/>
      <c r="G292" s="80"/>
      <c r="H292" s="79" t="str">
        <f>"FYE: "&amp;data!C82</f>
        <v>FYE: 12/31/2019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911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960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915</v>
      </c>
      <c r="C296" s="208"/>
      <c r="D296" s="208"/>
      <c r="E296" s="208"/>
      <c r="F296" s="208"/>
      <c r="G296" s="208"/>
      <c r="H296" s="208"/>
      <c r="I296" s="208"/>
    </row>
    <row r="297" spans="1:9" ht="20.100000000000001" customHeight="1" x14ac:dyDescent="0.25">
      <c r="A297" s="23">
        <v>4</v>
      </c>
      <c r="B297" s="14" t="s">
        <v>233</v>
      </c>
      <c r="C297" s="208"/>
      <c r="D297" s="208"/>
      <c r="E297" s="208"/>
      <c r="F297" s="208"/>
      <c r="G297" s="208"/>
      <c r="H297" s="208"/>
      <c r="I297" s="208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0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2555137</v>
      </c>
      <c r="D299" s="14">
        <f>data!BO61</f>
        <v>0</v>
      </c>
      <c r="E299" s="14">
        <f>data!BP61</f>
        <v>0</v>
      </c>
      <c r="F299" s="14">
        <f>data!BQ61</f>
        <v>462543</v>
      </c>
      <c r="G299" s="14">
        <f>data!BR61</f>
        <v>132374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825266</v>
      </c>
      <c r="D300" s="14">
        <f>data!BO62</f>
        <v>0</v>
      </c>
      <c r="E300" s="14">
        <f>data!BP62</f>
        <v>0</v>
      </c>
      <c r="F300" s="14">
        <f>data!BQ62</f>
        <v>149394</v>
      </c>
      <c r="G300" s="14">
        <f>data!BR62</f>
        <v>42755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0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0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153904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4756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0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916</v>
      </c>
      <c r="C309" s="14">
        <f>data!BN71</f>
        <v>3534307</v>
      </c>
      <c r="D309" s="14">
        <f>data!BO71</f>
        <v>0</v>
      </c>
      <c r="E309" s="14">
        <f>data!BP71</f>
        <v>0</v>
      </c>
      <c r="F309" s="14">
        <f>data!BQ71</f>
        <v>611937</v>
      </c>
      <c r="G309" s="14">
        <f>data!BR71</f>
        <v>179885</v>
      </c>
      <c r="H309" s="14">
        <f>data!BS71</f>
        <v>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07"/>
      <c r="D310" s="207"/>
      <c r="E310" s="207"/>
      <c r="F310" s="207"/>
      <c r="G310" s="207"/>
      <c r="H310" s="207"/>
      <c r="I310" s="207"/>
    </row>
    <row r="311" spans="1:9" ht="20.100000000000001" customHeight="1" x14ac:dyDescent="0.25">
      <c r="A311" s="23">
        <v>18</v>
      </c>
      <c r="B311" s="14" t="s">
        <v>917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918</v>
      </c>
      <c r="C312" s="209" t="str">
        <f>IF(data!BN73&gt;0,data!BN73,"")</f>
        <v>x</v>
      </c>
      <c r="D312" s="209" t="str">
        <f>IF(data!BO73&gt;0,data!BO73,"")</f>
        <v>x</v>
      </c>
      <c r="E312" s="209" t="str">
        <f>IF(data!BP73&gt;0,data!BP73,"")</f>
        <v>x</v>
      </c>
      <c r="F312" s="209" t="str">
        <f>IF(data!BQ73&gt;0,data!BQ73,"")</f>
        <v>x</v>
      </c>
      <c r="G312" s="209" t="str">
        <f>IF(data!BR73&gt;0,data!BR73,"")</f>
        <v>x</v>
      </c>
      <c r="H312" s="209" t="str">
        <f>IF(data!BS73&gt;0,data!BS73,"")</f>
        <v>x</v>
      </c>
      <c r="I312" s="209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919</v>
      </c>
      <c r="C313" s="209" t="str">
        <f>IF(data!BN74&gt;0,data!BN74,"")</f>
        <v>x</v>
      </c>
      <c r="D313" s="209" t="str">
        <f>IF(data!BO74&gt;0,data!BO74,"")</f>
        <v>x</v>
      </c>
      <c r="E313" s="209" t="str">
        <f>IF(data!BP74&gt;0,data!BP74,"")</f>
        <v>x</v>
      </c>
      <c r="F313" s="209" t="str">
        <f>IF(data!BQ74&gt;0,data!BQ74,"")</f>
        <v>x</v>
      </c>
      <c r="G313" s="209" t="str">
        <f>IF(data!BR74&gt;0,data!BR74,"")</f>
        <v>x</v>
      </c>
      <c r="H313" s="209" t="str">
        <f>IF(data!BS74&gt;0,data!BS74,"")</f>
        <v>x</v>
      </c>
      <c r="I313" s="209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920</v>
      </c>
      <c r="C314" s="209" t="str">
        <f>IF(data!BN75&gt;0,data!BN75,"")</f>
        <v>x</v>
      </c>
      <c r="D314" s="209" t="str">
        <f>IF(data!BO75&gt;0,data!BO75,"")</f>
        <v>x</v>
      </c>
      <c r="E314" s="209" t="str">
        <f>IF(data!BP75&gt;0,data!BP75,"")</f>
        <v>x</v>
      </c>
      <c r="F314" s="209" t="str">
        <f>IF(data!BQ75&gt;0,data!BQ75,"")</f>
        <v>x</v>
      </c>
      <c r="G314" s="209" t="str">
        <f>IF(data!BR75&gt;0,data!BR75,"")</f>
        <v>x</v>
      </c>
      <c r="H314" s="209" t="str">
        <f>IF(data!BS75&gt;0,data!BS75,"")</f>
        <v>x</v>
      </c>
      <c r="I314" s="209" t="str">
        <f>IF(data!BT75&gt;0,data!BT75,"")</f>
        <v>x</v>
      </c>
    </row>
    <row r="315" spans="1:9" ht="20.100000000000001" customHeight="1" x14ac:dyDescent="0.25">
      <c r="A315" s="23" t="s">
        <v>921</v>
      </c>
      <c r="B315" s="60"/>
      <c r="C315" s="207"/>
      <c r="D315" s="207"/>
      <c r="E315" s="207"/>
      <c r="F315" s="207"/>
      <c r="G315" s="207"/>
      <c r="H315" s="207"/>
      <c r="I315" s="207"/>
    </row>
    <row r="316" spans="1:9" ht="20.100000000000001" customHeight="1" x14ac:dyDescent="0.25">
      <c r="A316" s="23">
        <v>22</v>
      </c>
      <c r="B316" s="14" t="s">
        <v>922</v>
      </c>
      <c r="C316" s="85">
        <f>data!BN76</f>
        <v>13396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414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923</v>
      </c>
      <c r="C317" s="209" t="str">
        <f>IF(data!BN77&gt;0,data!BN77,"")</f>
        <v>x</v>
      </c>
      <c r="D317" s="209" t="str">
        <f>IF(data!BO77&gt;0,data!BO77,"")</f>
        <v>x</v>
      </c>
      <c r="E317" s="209" t="str">
        <f>IF(data!BP77&gt;0,data!BP77,"")</f>
        <v>x</v>
      </c>
      <c r="F317" s="209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924</v>
      </c>
      <c r="C318" s="209" t="str">
        <f>IF(data!BN78&gt;0,data!BN78,"")</f>
        <v>x</v>
      </c>
      <c r="D318" s="209" t="str">
        <f>IF(data!BO78&gt;0,data!BO78,"")</f>
        <v>x</v>
      </c>
      <c r="E318" s="209" t="str">
        <f>IF(data!BP78&gt;0,data!BP78,"")</f>
        <v>x</v>
      </c>
      <c r="F318" s="209" t="str">
        <f>IF(data!BQ78&gt;0,data!BQ78,"")</f>
        <v>x</v>
      </c>
      <c r="G318" s="209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925</v>
      </c>
      <c r="C319" s="209" t="str">
        <f>IF(data!BN79&gt;0,data!BN79,"")</f>
        <v>x</v>
      </c>
      <c r="D319" s="209" t="str">
        <f>IF(data!BO79&gt;0,data!BO79,"")</f>
        <v>x</v>
      </c>
      <c r="E319" s="209" t="str">
        <f>IF(data!BP79&gt;0,data!BP79,"")</f>
        <v>x</v>
      </c>
      <c r="F319" s="209" t="str">
        <f>IF(data!BQ79&gt;0,data!BQ79,"")</f>
        <v>x</v>
      </c>
      <c r="G319" s="209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2" t="str">
        <f>IF(data!BN80&gt;0,data!BN80,"")</f>
        <v>x</v>
      </c>
      <c r="D320" s="212" t="str">
        <f>IF(data!BO80&gt;0,data!BO80,"")</f>
        <v>x</v>
      </c>
      <c r="E320" s="212" t="str">
        <f>IF(data!BP80&gt;0,data!BP80,"")</f>
        <v>x</v>
      </c>
      <c r="F320" s="212" t="str">
        <f>IF(data!BQ80&gt;0,data!BQ80,"")</f>
        <v>x</v>
      </c>
      <c r="G320" s="212" t="str">
        <f>IF(data!BR80&gt;0,data!BR80,"")</f>
        <v>x</v>
      </c>
      <c r="H320" s="212" t="str">
        <f>IF(data!BS80&gt;0,data!BS80,"")</f>
        <v>x</v>
      </c>
      <c r="I320" s="212" t="str">
        <f>IF(data!BT80&gt;0,data!BT80,"")</f>
        <v>x</v>
      </c>
    </row>
    <row r="321" spans="1:9" ht="20.100000000000001" customHeight="1" x14ac:dyDescent="0.25">
      <c r="A321" s="4" t="s">
        <v>909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961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Shriners Hospitals for Children - Spokane</v>
      </c>
      <c r="B324" s="77"/>
      <c r="C324" s="77"/>
      <c r="D324" s="77"/>
      <c r="E324" s="77"/>
      <c r="F324" s="77"/>
      <c r="G324" s="80"/>
      <c r="H324" s="79" t="str">
        <f>"FYE: "&amp;data!C82</f>
        <v>FYE: 12/31/2019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911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960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915</v>
      </c>
      <c r="C328" s="208"/>
      <c r="D328" s="208"/>
      <c r="E328" s="208"/>
      <c r="F328" s="208"/>
      <c r="G328" s="208"/>
      <c r="H328" s="208"/>
      <c r="I328" s="208"/>
    </row>
    <row r="329" spans="1:9" ht="20.100000000000001" customHeight="1" x14ac:dyDescent="0.25">
      <c r="A329" s="23">
        <v>4</v>
      </c>
      <c r="B329" s="14" t="s">
        <v>233</v>
      </c>
      <c r="C329" s="208"/>
      <c r="D329" s="208"/>
      <c r="E329" s="208"/>
      <c r="F329" s="208"/>
      <c r="G329" s="208"/>
      <c r="H329" s="208"/>
      <c r="I329" s="208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0</v>
      </c>
      <c r="F330" s="26">
        <f>data!BX60</f>
        <v>0</v>
      </c>
      <c r="G330" s="26">
        <f>data!BY60</f>
        <v>0</v>
      </c>
      <c r="H330" s="26">
        <f>data!BZ60</f>
        <v>0</v>
      </c>
      <c r="I330" s="26">
        <f>data!CA60</f>
        <v>0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173067</v>
      </c>
      <c r="E331" s="86">
        <f>data!BW61</f>
        <v>0</v>
      </c>
      <c r="F331" s="86">
        <f>data!BX61</f>
        <v>0</v>
      </c>
      <c r="G331" s="86">
        <f>data!BY61</f>
        <v>655972</v>
      </c>
      <c r="H331" s="86">
        <f>data!BZ61</f>
        <v>0</v>
      </c>
      <c r="I331" s="86">
        <f>data!CA61</f>
        <v>0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55898</v>
      </c>
      <c r="E332" s="86">
        <f>data!BW62</f>
        <v>0</v>
      </c>
      <c r="F332" s="86">
        <f>data!BX62</f>
        <v>0</v>
      </c>
      <c r="G332" s="86">
        <f>data!BY62</f>
        <v>211868</v>
      </c>
      <c r="H332" s="86">
        <f>data!BZ62</f>
        <v>0</v>
      </c>
      <c r="I332" s="86">
        <f>data!CA62</f>
        <v>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0</v>
      </c>
      <c r="F334" s="86">
        <f>data!BX64</f>
        <v>0</v>
      </c>
      <c r="G334" s="86">
        <f>data!BY64</f>
        <v>0</v>
      </c>
      <c r="H334" s="86">
        <f>data!BZ64</f>
        <v>0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0</v>
      </c>
      <c r="F336" s="86">
        <f>data!BX66</f>
        <v>0</v>
      </c>
      <c r="G336" s="86">
        <f>data!BY66</f>
        <v>0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12190</v>
      </c>
      <c r="E337" s="86">
        <f>data!BW67</f>
        <v>0</v>
      </c>
      <c r="F337" s="86">
        <f>data!BX67</f>
        <v>0</v>
      </c>
      <c r="G337" s="86">
        <f>data!BY67</f>
        <v>14763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0</v>
      </c>
      <c r="F339" s="86">
        <f>data!BX69</f>
        <v>0</v>
      </c>
      <c r="G339" s="86">
        <f>data!BY69</f>
        <v>0</v>
      </c>
      <c r="H339" s="86">
        <f>data!BZ69</f>
        <v>0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916</v>
      </c>
      <c r="C341" s="14">
        <f>data!BU71</f>
        <v>0</v>
      </c>
      <c r="D341" s="14">
        <f>data!BV71</f>
        <v>241155</v>
      </c>
      <c r="E341" s="14">
        <f>data!BW71</f>
        <v>0</v>
      </c>
      <c r="F341" s="14">
        <f>data!BX71</f>
        <v>0</v>
      </c>
      <c r="G341" s="14">
        <f>data!BY71</f>
        <v>882603</v>
      </c>
      <c r="H341" s="14">
        <f>data!BZ71</f>
        <v>0</v>
      </c>
      <c r="I341" s="14">
        <f>data!CA71</f>
        <v>0</v>
      </c>
    </row>
    <row r="342" spans="1:9" ht="20.100000000000001" customHeight="1" x14ac:dyDescent="0.25">
      <c r="A342" s="23">
        <v>17</v>
      </c>
      <c r="B342" s="14" t="s">
        <v>244</v>
      </c>
      <c r="C342" s="207"/>
      <c r="D342" s="207"/>
      <c r="E342" s="207"/>
      <c r="F342" s="207"/>
      <c r="G342" s="207"/>
      <c r="H342" s="207"/>
      <c r="I342" s="207"/>
    </row>
    <row r="343" spans="1:9" ht="20.100000000000001" customHeight="1" x14ac:dyDescent="0.25">
      <c r="A343" s="23">
        <v>18</v>
      </c>
      <c r="B343" s="14" t="s">
        <v>917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918</v>
      </c>
      <c r="C344" s="209" t="str">
        <f>IF(data!BU73&gt;0,data!BU73,"")</f>
        <v>x</v>
      </c>
      <c r="D344" s="209" t="str">
        <f>IF(data!BV73&gt;0,data!BV73,"")</f>
        <v>x</v>
      </c>
      <c r="E344" s="209" t="str">
        <f>IF(data!BW73&gt;0,data!BW73,"")</f>
        <v>x</v>
      </c>
      <c r="F344" s="209" t="str">
        <f>IF(data!BX73&gt;0,data!BX73,"")</f>
        <v>x</v>
      </c>
      <c r="G344" s="209" t="str">
        <f>IF(data!BY73&gt;0,data!BY73,"")</f>
        <v>x</v>
      </c>
      <c r="H344" s="209" t="str">
        <f>IF(data!BZ73&gt;0,data!BZ73,"")</f>
        <v>x</v>
      </c>
      <c r="I344" s="209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919</v>
      </c>
      <c r="C345" s="209" t="str">
        <f>IF(data!BU74&gt;0,data!BU74,"")</f>
        <v>x</v>
      </c>
      <c r="D345" s="209" t="str">
        <f>IF(data!BV74&gt;0,data!BV74,"")</f>
        <v>x</v>
      </c>
      <c r="E345" s="209" t="str">
        <f>IF(data!BW74&gt;0,data!BW74,"")</f>
        <v>x</v>
      </c>
      <c r="F345" s="209" t="str">
        <f>IF(data!BX74&gt;0,data!BX74,"")</f>
        <v>x</v>
      </c>
      <c r="G345" s="209" t="str">
        <f>IF(data!BY74&gt;0,data!BY74,"")</f>
        <v>x</v>
      </c>
      <c r="H345" s="209" t="str">
        <f>IF(data!BZ74&gt;0,data!BZ74,"")</f>
        <v>x</v>
      </c>
      <c r="I345" s="209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920</v>
      </c>
      <c r="C346" s="209" t="str">
        <f>IF(data!BU75&gt;0,data!BU75,"")</f>
        <v>x</v>
      </c>
      <c r="D346" s="209" t="str">
        <f>IF(data!BV75&gt;0,data!BV75,"")</f>
        <v>x</v>
      </c>
      <c r="E346" s="209" t="str">
        <f>IF(data!BW75&gt;0,data!BW75,"")</f>
        <v>x</v>
      </c>
      <c r="F346" s="209" t="str">
        <f>IF(data!BX75&gt;0,data!BX75,"")</f>
        <v>x</v>
      </c>
      <c r="G346" s="209" t="str">
        <f>IF(data!BY75&gt;0,data!BY75,"")</f>
        <v>x</v>
      </c>
      <c r="H346" s="209" t="str">
        <f>IF(data!BZ75&gt;0,data!BZ75,"")</f>
        <v>x</v>
      </c>
      <c r="I346" s="209" t="str">
        <f>IF(data!CA75&gt;0,data!CA75,"")</f>
        <v>x</v>
      </c>
    </row>
    <row r="347" spans="1:9" ht="20.100000000000001" customHeight="1" x14ac:dyDescent="0.25">
      <c r="A347" s="23" t="s">
        <v>921</v>
      </c>
      <c r="B347" s="60"/>
      <c r="C347" s="207"/>
      <c r="D347" s="207"/>
      <c r="E347" s="207"/>
      <c r="F347" s="207"/>
      <c r="G347" s="207"/>
      <c r="H347" s="207"/>
      <c r="I347" s="207"/>
    </row>
    <row r="348" spans="1:9" ht="20.100000000000001" customHeight="1" x14ac:dyDescent="0.25">
      <c r="A348" s="23">
        <v>22</v>
      </c>
      <c r="B348" s="14" t="s">
        <v>922</v>
      </c>
      <c r="C348" s="85">
        <f>data!BU76</f>
        <v>0</v>
      </c>
      <c r="D348" s="85">
        <f>data!BV76</f>
        <v>1061</v>
      </c>
      <c r="E348" s="85">
        <f>data!BW76</f>
        <v>0</v>
      </c>
      <c r="F348" s="85">
        <f>data!BX76</f>
        <v>0</v>
      </c>
      <c r="G348" s="85">
        <f>data!BY76</f>
        <v>1285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923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924</v>
      </c>
      <c r="C350" s="85">
        <f>data!BU78</f>
        <v>0</v>
      </c>
      <c r="D350" s="85">
        <f>data!BV78</f>
        <v>1061</v>
      </c>
      <c r="E350" s="85">
        <f>data!BW78</f>
        <v>0</v>
      </c>
      <c r="F350" s="85">
        <f>data!BX78</f>
        <v>0</v>
      </c>
      <c r="G350" s="85">
        <f>data!BY78</f>
        <v>1285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925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2" t="str">
        <f>IF(data!BU80&gt;0,data!BU80,"")</f>
        <v/>
      </c>
      <c r="D352" s="212" t="str">
        <f>IF(data!BV80&gt;0,data!BV80,"")</f>
        <v/>
      </c>
      <c r="E352" s="212" t="str">
        <f>IF(data!BW80&gt;0,data!BW80,"")</f>
        <v/>
      </c>
      <c r="F352" s="212" t="str">
        <f>IF(data!BX80&gt;0,data!BX80,"")</f>
        <v/>
      </c>
      <c r="G352" s="212" t="str">
        <f>IF(data!BY80&gt;0,data!BY80,"")</f>
        <v/>
      </c>
      <c r="H352" s="212" t="str">
        <f>IF(data!BZ80&gt;0,data!BZ80,"")</f>
        <v/>
      </c>
      <c r="I352" s="212" t="str">
        <f>IF(data!CA80&gt;0,data!CA80,"")</f>
        <v/>
      </c>
    </row>
    <row r="353" spans="1:9" ht="20.100000000000001" customHeight="1" x14ac:dyDescent="0.25">
      <c r="A353" s="4" t="s">
        <v>909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962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Shriners Hospitals for Children - Spokane</v>
      </c>
      <c r="B356" s="77"/>
      <c r="C356" s="77"/>
      <c r="D356" s="77"/>
      <c r="E356" s="77"/>
      <c r="F356" s="77"/>
      <c r="G356" s="80"/>
      <c r="H356" s="79" t="str">
        <f>"FYE: "&amp;data!C82</f>
        <v>FYE: 12/31/2019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911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963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915</v>
      </c>
      <c r="C360" s="208"/>
      <c r="D360" s="208"/>
      <c r="E360" s="208"/>
      <c r="F360" s="208"/>
      <c r="G360" s="208"/>
      <c r="H360" s="208"/>
      <c r="I360" s="208"/>
    </row>
    <row r="361" spans="1:9" ht="20.100000000000001" customHeight="1" x14ac:dyDescent="0.25">
      <c r="A361" s="23">
        <v>4</v>
      </c>
      <c r="B361" s="14" t="s">
        <v>233</v>
      </c>
      <c r="C361" s="208"/>
      <c r="D361" s="208"/>
      <c r="E361" s="208"/>
      <c r="F361" s="208"/>
      <c r="G361" s="208"/>
      <c r="H361" s="208"/>
      <c r="I361" s="208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3"/>
      <c r="F362" s="207"/>
      <c r="G362" s="207"/>
      <c r="H362" s="207"/>
      <c r="I362" s="87">
        <f>data!CE60</f>
        <v>68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0</v>
      </c>
      <c r="E363" s="214"/>
      <c r="F363" s="215"/>
      <c r="G363" s="215"/>
      <c r="H363" s="215"/>
      <c r="I363" s="86">
        <f>data!CE61</f>
        <v>13559925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0</v>
      </c>
      <c r="E364" s="214"/>
      <c r="F364" s="215"/>
      <c r="G364" s="215"/>
      <c r="H364" s="215"/>
      <c r="I364" s="86">
        <f>data!CE62</f>
        <v>4379627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4"/>
      <c r="F365" s="215"/>
      <c r="G365" s="215"/>
      <c r="H365" s="215"/>
      <c r="I365" s="86">
        <f>data!CE63</f>
        <v>0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214"/>
      <c r="F366" s="215"/>
      <c r="G366" s="215"/>
      <c r="H366" s="215"/>
      <c r="I366" s="86">
        <f>data!CE64</f>
        <v>1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4"/>
      <c r="F367" s="215"/>
      <c r="G367" s="215"/>
      <c r="H367" s="215"/>
      <c r="I367" s="86">
        <f>data!CE65</f>
        <v>0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4"/>
      <c r="F368" s="215"/>
      <c r="G368" s="215"/>
      <c r="H368" s="215"/>
      <c r="I368" s="86">
        <f>data!CE66</f>
        <v>0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61144</v>
      </c>
      <c r="E369" s="214"/>
      <c r="F369" s="215"/>
      <c r="G369" s="215"/>
      <c r="H369" s="215"/>
      <c r="I369" s="86">
        <f>data!CE67</f>
        <v>1019529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4"/>
      <c r="F370" s="215"/>
      <c r="G370" s="215"/>
      <c r="H370" s="215"/>
      <c r="I370" s="86">
        <f>data!CE68</f>
        <v>0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0</v>
      </c>
      <c r="E371" s="86">
        <f>data!CD69</f>
        <v>0</v>
      </c>
      <c r="F371" s="215"/>
      <c r="G371" s="215"/>
      <c r="H371" s="215"/>
      <c r="I371" s="86">
        <f>data!CE69</f>
        <v>0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5">
        <f>data!CD70</f>
        <v>1869733</v>
      </c>
      <c r="F372" s="216"/>
      <c r="G372" s="216"/>
      <c r="H372" s="216"/>
      <c r="I372" s="14">
        <f>-data!CE70</f>
        <v>-1869733</v>
      </c>
    </row>
    <row r="373" spans="1:9" ht="20.100000000000001" customHeight="1" x14ac:dyDescent="0.25">
      <c r="A373" s="23">
        <v>16</v>
      </c>
      <c r="B373" s="48" t="s">
        <v>916</v>
      </c>
      <c r="C373" s="86">
        <f>data!CB71</f>
        <v>0</v>
      </c>
      <c r="D373" s="86">
        <f>data!CC71</f>
        <v>61144</v>
      </c>
      <c r="E373" s="86">
        <f>data!CD71</f>
        <v>-1869733</v>
      </c>
      <c r="F373" s="215"/>
      <c r="G373" s="215"/>
      <c r="H373" s="215"/>
      <c r="I373" s="14">
        <f>data!CE71</f>
        <v>17089349</v>
      </c>
    </row>
    <row r="374" spans="1:9" ht="20.100000000000001" customHeight="1" x14ac:dyDescent="0.25">
      <c r="A374" s="23">
        <v>17</v>
      </c>
      <c r="B374" s="14" t="s">
        <v>244</v>
      </c>
      <c r="C374" s="215"/>
      <c r="D374" s="215"/>
      <c r="E374" s="215"/>
      <c r="F374" s="215"/>
      <c r="G374" s="215"/>
      <c r="H374" s="215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917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918</v>
      </c>
      <c r="C376" s="209" t="str">
        <f>IF(data!CB73&gt;0,data!CB73,"")</f>
        <v>x</v>
      </c>
      <c r="D376" s="209" t="str">
        <f>IF(data!CC73&gt;0,data!CC73,"")</f>
        <v>x</v>
      </c>
      <c r="E376" s="210"/>
      <c r="F376" s="207"/>
      <c r="G376" s="207"/>
      <c r="H376" s="207"/>
      <c r="I376" s="85">
        <f>data!CE73</f>
        <v>10410389</v>
      </c>
    </row>
    <row r="377" spans="1:9" ht="20.100000000000001" customHeight="1" x14ac:dyDescent="0.25">
      <c r="A377" s="23">
        <v>20</v>
      </c>
      <c r="B377" s="48" t="s">
        <v>919</v>
      </c>
      <c r="C377" s="209" t="str">
        <f>IF(data!CB74&gt;0,data!CB74,"")</f>
        <v>x</v>
      </c>
      <c r="D377" s="209" t="str">
        <f>IF(data!CC74&gt;0,data!CC74,"")</f>
        <v>x</v>
      </c>
      <c r="E377" s="210"/>
      <c r="F377" s="207"/>
      <c r="G377" s="207"/>
      <c r="H377" s="207"/>
      <c r="I377" s="85">
        <f>data!CE74</f>
        <v>20821578</v>
      </c>
    </row>
    <row r="378" spans="1:9" ht="20.100000000000001" customHeight="1" x14ac:dyDescent="0.25">
      <c r="A378" s="23">
        <v>21</v>
      </c>
      <c r="B378" s="48" t="s">
        <v>920</v>
      </c>
      <c r="C378" s="209" t="str">
        <f>IF(data!CB75&gt;0,data!CB75,"")</f>
        <v>x</v>
      </c>
      <c r="D378" s="209" t="str">
        <f>IF(data!CC75&gt;0,data!CC75,"")</f>
        <v>x</v>
      </c>
      <c r="E378" s="210"/>
      <c r="F378" s="207"/>
      <c r="G378" s="207"/>
      <c r="H378" s="207"/>
      <c r="I378" s="85">
        <f>data!CE75</f>
        <v>31231967</v>
      </c>
    </row>
    <row r="379" spans="1:9" ht="20.100000000000001" customHeight="1" x14ac:dyDescent="0.25">
      <c r="A379" s="23" t="s">
        <v>921</v>
      </c>
      <c r="B379" s="60"/>
      <c r="C379" s="207"/>
      <c r="D379" s="207"/>
      <c r="E379" s="207"/>
      <c r="F379" s="207"/>
      <c r="G379" s="207"/>
      <c r="H379" s="207"/>
      <c r="I379" s="207"/>
    </row>
    <row r="380" spans="1:9" ht="20.100000000000001" customHeight="1" x14ac:dyDescent="0.25">
      <c r="A380" s="23">
        <v>22</v>
      </c>
      <c r="B380" s="14" t="s">
        <v>922</v>
      </c>
      <c r="C380" s="85">
        <f>data!CB76</f>
        <v>0</v>
      </c>
      <c r="D380" s="85">
        <f>data!CC76</f>
        <v>5322</v>
      </c>
      <c r="E380" s="210"/>
      <c r="F380" s="207"/>
      <c r="G380" s="207"/>
      <c r="H380" s="207"/>
      <c r="I380" s="14">
        <f>data!CE76</f>
        <v>88741</v>
      </c>
    </row>
    <row r="381" spans="1:9" ht="20.100000000000001" customHeight="1" x14ac:dyDescent="0.25">
      <c r="A381" s="23">
        <v>23</v>
      </c>
      <c r="B381" s="14" t="s">
        <v>923</v>
      </c>
      <c r="C381" s="14" t="str">
        <f>IF(data!CB77&gt;0,data!CB77,"")</f>
        <v/>
      </c>
      <c r="D381" s="209" t="str">
        <f>IF(data!CC77&gt;0,data!CC77,"")</f>
        <v>x</v>
      </c>
      <c r="E381" s="210"/>
      <c r="F381" s="207"/>
      <c r="G381" s="207"/>
      <c r="H381" s="207"/>
      <c r="I381" s="14">
        <f>data!CE77</f>
        <v>3493</v>
      </c>
    </row>
    <row r="382" spans="1:9" ht="20.100000000000001" customHeight="1" x14ac:dyDescent="0.25">
      <c r="A382" s="23">
        <v>24</v>
      </c>
      <c r="B382" s="14" t="s">
        <v>924</v>
      </c>
      <c r="C382" s="14" t="str">
        <f>IF(data!CB78&gt;0,data!CB78,"")</f>
        <v/>
      </c>
      <c r="D382" s="209" t="str">
        <f>IF(data!CC78&gt;0,data!CC78,"")</f>
        <v>x</v>
      </c>
      <c r="E382" s="210"/>
      <c r="F382" s="207"/>
      <c r="G382" s="207"/>
      <c r="H382" s="207"/>
      <c r="I382" s="14">
        <f>data!CE78</f>
        <v>54406</v>
      </c>
    </row>
    <row r="383" spans="1:9" ht="20.100000000000001" customHeight="1" x14ac:dyDescent="0.25">
      <c r="A383" s="23">
        <v>25</v>
      </c>
      <c r="B383" s="14" t="s">
        <v>925</v>
      </c>
      <c r="C383" s="14" t="str">
        <f>IF(data!CB79&gt;0,data!CB79,"")</f>
        <v/>
      </c>
      <c r="D383" s="209" t="str">
        <f>IF(data!CC79&gt;0,data!CC79,"")</f>
        <v>x</v>
      </c>
      <c r="E383" s="210"/>
      <c r="F383" s="207"/>
      <c r="G383" s="207"/>
      <c r="H383" s="207"/>
      <c r="I383" s="14">
        <f>data!CE79</f>
        <v>49237</v>
      </c>
    </row>
    <row r="384" spans="1:9" ht="20.100000000000001" customHeight="1" x14ac:dyDescent="0.25">
      <c r="A384" s="23">
        <v>26</v>
      </c>
      <c r="B384" s="14" t="s">
        <v>252</v>
      </c>
      <c r="C384" s="209" t="str">
        <f>IF(data!CB80&gt;0,data!CB80,"")</f>
        <v/>
      </c>
      <c r="D384" s="209" t="str">
        <f>IF(data!CC80&gt;0,data!CC80,"")</f>
        <v>x</v>
      </c>
      <c r="E384" s="213"/>
      <c r="F384" s="207"/>
      <c r="G384" s="207"/>
      <c r="H384" s="207"/>
      <c r="I384" s="84">
        <f>data!CE80</f>
        <v>43.739999999999995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Huyck, Randall  (DOH)</cp:lastModifiedBy>
  <cp:lastPrinted>2020-04-15T16:07:29Z</cp:lastPrinted>
  <dcterms:created xsi:type="dcterms:W3CDTF">1999-06-02T22:01:56Z</dcterms:created>
  <dcterms:modified xsi:type="dcterms:W3CDTF">2020-09-02T22:55:48Z</dcterms:modified>
</cp:coreProperties>
</file>