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_xlnm.Print_Area" localSheetId="1">Transmittal!$B$1:$J$43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D140" i="1" l="1"/>
  <c r="C140" i="1"/>
  <c r="B140" i="1"/>
  <c r="CC60" i="1" l="1"/>
  <c r="CA60" i="1"/>
  <c r="BR60" i="1"/>
  <c r="BN60" i="1"/>
  <c r="BY60" i="1"/>
  <c r="BH60" i="1"/>
  <c r="BD60" i="1"/>
  <c r="AV60" i="1"/>
  <c r="AP60" i="1"/>
  <c r="AB60" i="1"/>
  <c r="Y60" i="1"/>
  <c r="U60" i="1"/>
  <c r="Q80" i="1"/>
  <c r="P60" i="1"/>
  <c r="P80" i="1" s="1"/>
  <c r="E80" i="1"/>
  <c r="E60" i="1"/>
  <c r="C80" i="1"/>
  <c r="C250" i="1" l="1"/>
  <c r="C262" i="1"/>
  <c r="AP69" i="1" l="1"/>
  <c r="C389" i="1"/>
  <c r="C384" i="1"/>
  <c r="AP51" i="1"/>
  <c r="CC69" i="1"/>
  <c r="AG69" i="1"/>
  <c r="R69" i="1"/>
  <c r="E69" i="1"/>
  <c r="CD69" i="1"/>
  <c r="BY69" i="1"/>
  <c r="BN69" i="1"/>
  <c r="AB69" i="1"/>
  <c r="Y69" i="1"/>
  <c r="P69" i="1"/>
  <c r="CC64" i="1" l="1"/>
  <c r="CD70" i="1"/>
  <c r="AP70" i="1"/>
  <c r="AB70" i="1"/>
  <c r="BV70" i="1"/>
  <c r="AY70" i="1"/>
  <c r="AV70" i="1"/>
  <c r="C305" i="1"/>
  <c r="BE59" i="1" l="1"/>
  <c r="CC76" i="1"/>
  <c r="AG80" i="1" l="1"/>
  <c r="R80" i="1"/>
  <c r="AG79" i="1"/>
  <c r="BT78" i="1" l="1"/>
  <c r="BU78" i="1"/>
  <c r="BX78" i="1"/>
  <c r="BZ78" i="1"/>
  <c r="CB78" i="1"/>
  <c r="BS78" i="1"/>
  <c r="BM78" i="1"/>
  <c r="BI78" i="1"/>
  <c r="BB78" i="1"/>
  <c r="BC78" i="1"/>
  <c r="D78" i="1"/>
  <c r="F78" i="1"/>
  <c r="G78" i="1"/>
  <c r="H78" i="1"/>
  <c r="I78" i="1"/>
  <c r="K78" i="1"/>
  <c r="L78" i="1"/>
  <c r="M78" i="1"/>
  <c r="N78" i="1"/>
  <c r="T78" i="1"/>
  <c r="V78" i="1"/>
  <c r="Z78" i="1"/>
  <c r="AD78" i="1"/>
  <c r="AE78" i="1"/>
  <c r="AF78" i="1"/>
  <c r="AH78" i="1"/>
  <c r="AI78" i="1"/>
  <c r="AJ78" i="1"/>
  <c r="AK78" i="1"/>
  <c r="AL78" i="1"/>
  <c r="AM78" i="1"/>
  <c r="AN78" i="1"/>
  <c r="AO78" i="1"/>
  <c r="AQ78" i="1"/>
  <c r="AR78" i="1"/>
  <c r="AS78" i="1"/>
  <c r="AT78" i="1"/>
  <c r="AU78" i="1"/>
  <c r="AW78" i="1"/>
  <c r="C78" i="1"/>
  <c r="E77" i="1"/>
  <c r="AP76" i="1" l="1"/>
  <c r="AP78" i="1" s="1"/>
  <c r="BK76" i="1"/>
  <c r="BK78" i="1" s="1"/>
  <c r="BE76" i="1"/>
  <c r="U76" i="1"/>
  <c r="U78" i="1" s="1"/>
  <c r="BN76" i="1"/>
  <c r="BH76" i="1"/>
  <c r="BH78" i="1" s="1"/>
  <c r="BO76" i="1"/>
  <c r="BV76" i="1"/>
  <c r="BV78" i="1" s="1"/>
  <c r="CA76" i="1"/>
  <c r="CA78" i="1" s="1"/>
  <c r="BY76" i="1"/>
  <c r="BY78" i="1" s="1"/>
  <c r="BL76" i="1"/>
  <c r="BL78" i="1" s="1"/>
  <c r="BJ76" i="1"/>
  <c r="Y76" i="1" l="1"/>
  <c r="Y78" i="1" s="1"/>
  <c r="BW76" i="1"/>
  <c r="BW78" i="1" s="1"/>
  <c r="BR76" i="1"/>
  <c r="BF76" i="1"/>
  <c r="BD76" i="1"/>
  <c r="BA76" i="1"/>
  <c r="BA78" i="1" s="1"/>
  <c r="AY76" i="1"/>
  <c r="AV76" i="1"/>
  <c r="AV78" i="1" s="1"/>
  <c r="AG76" i="1"/>
  <c r="AG78" i="1" s="1"/>
  <c r="AC76" i="1"/>
  <c r="AC78" i="1" s="1"/>
  <c r="AB76" i="1"/>
  <c r="AB78" i="1" s="1"/>
  <c r="AA76" i="1"/>
  <c r="AA78" i="1" s="1"/>
  <c r="X76" i="1"/>
  <c r="X78" i="1" s="1"/>
  <c r="W76" i="1"/>
  <c r="W78" i="1" s="1"/>
  <c r="S76" i="1"/>
  <c r="S78" i="1" s="1"/>
  <c r="R76" i="1"/>
  <c r="R78" i="1" s="1"/>
  <c r="Q76" i="1"/>
  <c r="Q78" i="1" s="1"/>
  <c r="P76" i="1"/>
  <c r="P78" i="1" s="1"/>
  <c r="O76" i="1"/>
  <c r="O78" i="1" s="1"/>
  <c r="J76" i="1"/>
  <c r="J78" i="1" s="1"/>
  <c r="E76" i="1"/>
  <c r="E78" i="1" s="1"/>
  <c r="CC47" i="1" l="1"/>
  <c r="CC61" i="1"/>
  <c r="AG74" i="1"/>
  <c r="AV74" i="1"/>
  <c r="Y61" i="1"/>
  <c r="C378" i="1" l="1"/>
  <c r="C364" i="1"/>
  <c r="C360" i="1"/>
  <c r="C325" i="1"/>
  <c r="C253" i="1"/>
  <c r="C171" i="1" l="1"/>
  <c r="C167" i="1"/>
  <c r="C168" i="1"/>
  <c r="D139" i="1"/>
  <c r="C139" i="1"/>
  <c r="B139" i="1"/>
  <c r="D138" i="1"/>
  <c r="E59" i="1"/>
  <c r="B52" i="1" l="1"/>
  <c r="O817" i="10" l="1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A813" i="10"/>
  <c r="T812" i="10"/>
  <c r="S812" i="10"/>
  <c r="R812" i="10"/>
  <c r="Q812" i="10"/>
  <c r="M812" i="10"/>
  <c r="F812" i="10"/>
  <c r="A812" i="10"/>
  <c r="T811" i="10"/>
  <c r="S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Q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Q808" i="10"/>
  <c r="M808" i="10"/>
  <c r="F808" i="10"/>
  <c r="A808" i="10"/>
  <c r="T807" i="10"/>
  <c r="S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Q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Q805" i="10"/>
  <c r="M805" i="10"/>
  <c r="L805" i="10"/>
  <c r="K805" i="10"/>
  <c r="I805" i="10"/>
  <c r="H805" i="10"/>
  <c r="G805" i="10"/>
  <c r="F805" i="10"/>
  <c r="D805" i="10"/>
  <c r="A805" i="10"/>
  <c r="T804" i="10"/>
  <c r="S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M801" i="10"/>
  <c r="L801" i="10"/>
  <c r="K801" i="10"/>
  <c r="H801" i="10"/>
  <c r="F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M797" i="10"/>
  <c r="C797" i="10"/>
  <c r="A797" i="10"/>
  <c r="T796" i="10"/>
  <c r="S796" i="10"/>
  <c r="Q796" i="10"/>
  <c r="M796" i="10"/>
  <c r="L796" i="10"/>
  <c r="K796" i="10"/>
  <c r="I796" i="10"/>
  <c r="H796" i="10"/>
  <c r="G796" i="10"/>
  <c r="F796" i="10"/>
  <c r="D796" i="10"/>
  <c r="A796" i="10"/>
  <c r="T795" i="10"/>
  <c r="S795" i="10"/>
  <c r="Q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Q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Q791" i="10"/>
  <c r="M791" i="10"/>
  <c r="L791" i="10"/>
  <c r="K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M788" i="10"/>
  <c r="L788" i="10"/>
  <c r="K788" i="10"/>
  <c r="I788" i="10"/>
  <c r="G788" i="10"/>
  <c r="F788" i="10"/>
  <c r="D788" i="10"/>
  <c r="C788" i="10"/>
  <c r="B788" i="10"/>
  <c r="A788" i="10"/>
  <c r="T787" i="10"/>
  <c r="S787" i="10"/>
  <c r="R787" i="10"/>
  <c r="Q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Q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Q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Q773" i="10"/>
  <c r="P773" i="10"/>
  <c r="O773" i="10"/>
  <c r="K773" i="10"/>
  <c r="I773" i="10"/>
  <c r="H773" i="10"/>
  <c r="G773" i="10"/>
  <c r="D773" i="10"/>
  <c r="B773" i="10"/>
  <c r="A773" i="10"/>
  <c r="T772" i="10"/>
  <c r="S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M764" i="10"/>
  <c r="H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Q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Q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Q759" i="10"/>
  <c r="K759" i="10"/>
  <c r="H759" i="10"/>
  <c r="F759" i="10"/>
  <c r="A759" i="10"/>
  <c r="T758" i="10"/>
  <c r="S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Q756" i="10"/>
  <c r="M756" i="10"/>
  <c r="F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Q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Q750" i="10"/>
  <c r="P750" i="10"/>
  <c r="O750" i="10"/>
  <c r="M750" i="10"/>
  <c r="L750" i="10"/>
  <c r="K750" i="10"/>
  <c r="I750" i="10"/>
  <c r="H750" i="10"/>
  <c r="F750" i="10"/>
  <c r="D750" i="10"/>
  <c r="C750" i="10"/>
  <c r="A750" i="10"/>
  <c r="T749" i="10"/>
  <c r="S749" i="10"/>
  <c r="Q749" i="10"/>
  <c r="P749" i="10"/>
  <c r="O749" i="10"/>
  <c r="M749" i="10"/>
  <c r="K749" i="10"/>
  <c r="I749" i="10"/>
  <c r="H749" i="10"/>
  <c r="G749" i="10"/>
  <c r="F749" i="10"/>
  <c r="D749" i="10"/>
  <c r="C749" i="10"/>
  <c r="B749" i="10"/>
  <c r="A749" i="10"/>
  <c r="T748" i="10"/>
  <c r="S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S747" i="10"/>
  <c r="M747" i="10"/>
  <c r="H747" i="10"/>
  <c r="F747" i="10"/>
  <c r="C747" i="10"/>
  <c r="B747" i="10"/>
  <c r="A747" i="10"/>
  <c r="T746" i="10"/>
  <c r="S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S736" i="10"/>
  <c r="M736" i="10"/>
  <c r="C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N730" i="10"/>
  <c r="BM730" i="10"/>
  <c r="BL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P730" i="10"/>
  <c r="O730" i="10"/>
  <c r="N730" i="10"/>
  <c r="M730" i="10"/>
  <c r="L730" i="10"/>
  <c r="K730" i="10"/>
  <c r="J730" i="10"/>
  <c r="I730" i="10"/>
  <c r="G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E726" i="10"/>
  <c r="AD726" i="10"/>
  <c r="AC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A722" i="10"/>
  <c r="Z722" i="10"/>
  <c r="X722" i="10"/>
  <c r="W722" i="10"/>
  <c r="V722" i="10"/>
  <c r="U722" i="10"/>
  <c r="T722" i="10"/>
  <c r="S722" i="10"/>
  <c r="Q722" i="10"/>
  <c r="P722" i="10"/>
  <c r="O722" i="10"/>
  <c r="N722" i="10"/>
  <c r="M722" i="10"/>
  <c r="K722" i="10"/>
  <c r="J722" i="10"/>
  <c r="I722" i="10"/>
  <c r="H722" i="10"/>
  <c r="G722" i="10"/>
  <c r="F722" i="10"/>
  <c r="D722" i="10"/>
  <c r="C722" i="10"/>
  <c r="B722" i="10"/>
  <c r="A722" i="10"/>
  <c r="F550" i="10"/>
  <c r="E550" i="10"/>
  <c r="E546" i="10"/>
  <c r="E545" i="10"/>
  <c r="E544" i="10"/>
  <c r="F544" i="10"/>
  <c r="F540" i="10"/>
  <c r="E540" i="10"/>
  <c r="H540" i="10"/>
  <c r="H539" i="10"/>
  <c r="F539" i="10"/>
  <c r="E539" i="10"/>
  <c r="H538" i="10"/>
  <c r="E538" i="10"/>
  <c r="F538" i="10"/>
  <c r="E537" i="10"/>
  <c r="F536" i="10"/>
  <c r="E536" i="10"/>
  <c r="H536" i="10"/>
  <c r="E535" i="10"/>
  <c r="F535" i="10"/>
  <c r="H534" i="10"/>
  <c r="E534" i="10"/>
  <c r="F534" i="10"/>
  <c r="H533" i="10"/>
  <c r="F533" i="10"/>
  <c r="E533" i="10"/>
  <c r="E532" i="10"/>
  <c r="H532" i="10"/>
  <c r="H531" i="10"/>
  <c r="F531" i="10"/>
  <c r="E531" i="10"/>
  <c r="H530" i="10"/>
  <c r="E530" i="10"/>
  <c r="F530" i="10"/>
  <c r="E529" i="10"/>
  <c r="H529" i="10"/>
  <c r="E528" i="10"/>
  <c r="H528" i="10"/>
  <c r="H527" i="10"/>
  <c r="E527" i="10"/>
  <c r="F527" i="10"/>
  <c r="E526" i="10"/>
  <c r="F526" i="10"/>
  <c r="E525" i="10"/>
  <c r="E524" i="10"/>
  <c r="H523" i="10"/>
  <c r="F523" i="10"/>
  <c r="E523" i="10"/>
  <c r="E522" i="10"/>
  <c r="F521" i="10"/>
  <c r="F520" i="10"/>
  <c r="E520" i="10"/>
  <c r="H519" i="10"/>
  <c r="F519" i="10"/>
  <c r="E519" i="10"/>
  <c r="E517" i="10"/>
  <c r="E516" i="10"/>
  <c r="H515" i="10"/>
  <c r="E515" i="10"/>
  <c r="F515" i="10"/>
  <c r="E514" i="10"/>
  <c r="F514" i="10"/>
  <c r="H513" i="10"/>
  <c r="F513" i="10"/>
  <c r="E511" i="10"/>
  <c r="F511" i="10"/>
  <c r="F510" i="10"/>
  <c r="E510" i="10"/>
  <c r="F509" i="10"/>
  <c r="E509" i="10"/>
  <c r="F508" i="10"/>
  <c r="E508" i="10"/>
  <c r="H507" i="10"/>
  <c r="F507" i="10"/>
  <c r="E507" i="10"/>
  <c r="E506" i="10"/>
  <c r="H506" i="10"/>
  <c r="E505" i="10"/>
  <c r="H505" i="10"/>
  <c r="E504" i="10"/>
  <c r="E503" i="10"/>
  <c r="F503" i="10"/>
  <c r="H502" i="10"/>
  <c r="F502" i="10"/>
  <c r="E502" i="10"/>
  <c r="F501" i="10"/>
  <c r="E501" i="10"/>
  <c r="H501" i="10"/>
  <c r="H500" i="10"/>
  <c r="F500" i="10"/>
  <c r="E500" i="10"/>
  <c r="H499" i="10"/>
  <c r="F499" i="10"/>
  <c r="E499" i="10"/>
  <c r="E497" i="10"/>
  <c r="H497" i="10"/>
  <c r="E496" i="10"/>
  <c r="G493" i="10"/>
  <c r="E493" i="10"/>
  <c r="C493" i="10"/>
  <c r="A493" i="10"/>
  <c r="B478" i="10"/>
  <c r="B475" i="10"/>
  <c r="B474" i="10"/>
  <c r="B473" i="10"/>
  <c r="B472" i="10"/>
  <c r="B471" i="10"/>
  <c r="B469" i="10"/>
  <c r="B468" i="10"/>
  <c r="B463" i="10"/>
  <c r="C459" i="10"/>
  <c r="B459" i="10"/>
  <c r="B455" i="10"/>
  <c r="B454" i="10"/>
  <c r="B453" i="10"/>
  <c r="C447" i="10"/>
  <c r="C446" i="10"/>
  <c r="C445" i="10"/>
  <c r="C444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89" i="10"/>
  <c r="B439" i="10" s="1"/>
  <c r="C370" i="10"/>
  <c r="B458" i="10" s="1"/>
  <c r="D367" i="10"/>
  <c r="C448" i="10" s="1"/>
  <c r="C360" i="10"/>
  <c r="D329" i="10"/>
  <c r="D328" i="10"/>
  <c r="D330" i="10" s="1"/>
  <c r="D319" i="10"/>
  <c r="C307" i="10"/>
  <c r="D290" i="10"/>
  <c r="D283" i="10"/>
  <c r="D275" i="10"/>
  <c r="D277" i="10" s="1"/>
  <c r="C269" i="10"/>
  <c r="Q730" i="10" s="1"/>
  <c r="D265" i="10"/>
  <c r="C256" i="10"/>
  <c r="H730" i="10" s="1"/>
  <c r="C253" i="10"/>
  <c r="E730" i="10" s="1"/>
  <c r="D240" i="10"/>
  <c r="B447" i="10" s="1"/>
  <c r="D236" i="10"/>
  <c r="B446" i="10" s="1"/>
  <c r="D229" i="10"/>
  <c r="B445" i="10" s="1"/>
  <c r="D221" i="10"/>
  <c r="CD722" i="10" s="1"/>
  <c r="D217" i="10"/>
  <c r="B217" i="10"/>
  <c r="E216" i="10"/>
  <c r="E215" i="10"/>
  <c r="E214" i="10"/>
  <c r="C213" i="10"/>
  <c r="E212" i="10"/>
  <c r="E211" i="10"/>
  <c r="E210" i="10"/>
  <c r="E209" i="10"/>
  <c r="D204" i="10"/>
  <c r="E203" i="10"/>
  <c r="C475" i="10" s="1"/>
  <c r="E202" i="10"/>
  <c r="C474" i="10" s="1"/>
  <c r="E201" i="10"/>
  <c r="E200" i="10"/>
  <c r="C473" i="10" s="1"/>
  <c r="E199" i="10"/>
  <c r="C472" i="10" s="1"/>
  <c r="C198" i="10"/>
  <c r="AB722" i="10" s="1"/>
  <c r="C197" i="10"/>
  <c r="Y722" i="10" s="1"/>
  <c r="E196" i="10"/>
  <c r="C469" i="10" s="1"/>
  <c r="B195" i="10"/>
  <c r="R722" i="10" s="1"/>
  <c r="D190" i="10"/>
  <c r="D437" i="10" s="1"/>
  <c r="D186" i="10"/>
  <c r="D436" i="10" s="1"/>
  <c r="C180" i="10"/>
  <c r="D177" i="10"/>
  <c r="D434" i="10" s="1"/>
  <c r="C168" i="10"/>
  <c r="E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C142" i="10"/>
  <c r="AG726" i="10" s="1"/>
  <c r="B142" i="10"/>
  <c r="AB726" i="10" s="1"/>
  <c r="C141" i="10"/>
  <c r="AF726" i="10" s="1"/>
  <c r="B141" i="10"/>
  <c r="AA726" i="10" s="1"/>
  <c r="E140" i="10"/>
  <c r="D139" i="10"/>
  <c r="E138" i="10"/>
  <c r="C414" i="10" s="1"/>
  <c r="D138" i="10"/>
  <c r="AH726" i="10" s="1"/>
  <c r="E127" i="10"/>
  <c r="P80" i="10"/>
  <c r="T747" i="10" s="1"/>
  <c r="E80" i="10"/>
  <c r="T736" i="10" s="1"/>
  <c r="CF79" i="10"/>
  <c r="AG79" i="10"/>
  <c r="S764" i="10" s="1"/>
  <c r="CB78" i="10"/>
  <c r="R811" i="10" s="1"/>
  <c r="BZ78" i="10"/>
  <c r="R809" i="10" s="1"/>
  <c r="BX78" i="10"/>
  <c r="R807" i="10" s="1"/>
  <c r="BU78" i="10"/>
  <c r="R804" i="10" s="1"/>
  <c r="BT78" i="10"/>
  <c r="R803" i="10" s="1"/>
  <c r="BS78" i="10"/>
  <c r="R802" i="10" s="1"/>
  <c r="BL78" i="10"/>
  <c r="R795" i="10" s="1"/>
  <c r="BI78" i="10"/>
  <c r="R792" i="10" s="1"/>
  <c r="BC78" i="10"/>
  <c r="R786" i="10" s="1"/>
  <c r="BB78" i="10"/>
  <c r="R785" i="10" s="1"/>
  <c r="AW78" i="10"/>
  <c r="R780" i="10" s="1"/>
  <c r="AU78" i="10"/>
  <c r="R778" i="10" s="1"/>
  <c r="AT78" i="10"/>
  <c r="R777" i="10" s="1"/>
  <c r="AS78" i="10"/>
  <c r="R776" i="10" s="1"/>
  <c r="AR78" i="10"/>
  <c r="R775" i="10" s="1"/>
  <c r="AQ78" i="10"/>
  <c r="R774" i="10" s="1"/>
  <c r="AP78" i="10"/>
  <c r="R773" i="10" s="1"/>
  <c r="AO78" i="10"/>
  <c r="R772" i="10" s="1"/>
  <c r="AN78" i="10"/>
  <c r="R771" i="10" s="1"/>
  <c r="AM78" i="10"/>
  <c r="R770" i="10" s="1"/>
  <c r="AL78" i="10"/>
  <c r="R769" i="10" s="1"/>
  <c r="AK78" i="10"/>
  <c r="R768" i="10" s="1"/>
  <c r="AJ78" i="10"/>
  <c r="R767" i="10" s="1"/>
  <c r="AI78" i="10"/>
  <c r="R766" i="10" s="1"/>
  <c r="AC78" i="10"/>
  <c r="R760" i="10" s="1"/>
  <c r="AA78" i="10"/>
  <c r="R758" i="10" s="1"/>
  <c r="S78" i="10"/>
  <c r="R750" i="10" s="1"/>
  <c r="R78" i="10"/>
  <c r="R749" i="10" s="1"/>
  <c r="Q78" i="10"/>
  <c r="R748" i="10" s="1"/>
  <c r="P78" i="10"/>
  <c r="R747" i="10" s="1"/>
  <c r="O78" i="10"/>
  <c r="R746" i="10" s="1"/>
  <c r="J78" i="10"/>
  <c r="R741" i="10" s="1"/>
  <c r="C78" i="10"/>
  <c r="R734" i="10" s="1"/>
  <c r="AG77" i="10"/>
  <c r="Q764" i="10" s="1"/>
  <c r="P77" i="10"/>
  <c r="Q747" i="10" s="1"/>
  <c r="E77" i="10"/>
  <c r="Q736" i="10" s="1"/>
  <c r="CC76" i="10"/>
  <c r="P812" i="10" s="1"/>
  <c r="CA76" i="10"/>
  <c r="P810" i="10" s="1"/>
  <c r="BY76" i="10"/>
  <c r="P808" i="10" s="1"/>
  <c r="BW76" i="10"/>
  <c r="P806" i="10" s="1"/>
  <c r="BV76" i="10"/>
  <c r="P805" i="10" s="1"/>
  <c r="BR76" i="10"/>
  <c r="P801" i="10" s="1"/>
  <c r="BO76" i="10"/>
  <c r="P798" i="10" s="1"/>
  <c r="BN76" i="10"/>
  <c r="P797" i="10" s="1"/>
  <c r="BM76" i="10"/>
  <c r="P796" i="10" s="1"/>
  <c r="BL76" i="10"/>
  <c r="P795" i="10" s="1"/>
  <c r="BK76" i="10"/>
  <c r="P794" i="10" s="1"/>
  <c r="BJ76" i="10"/>
  <c r="P793" i="10" s="1"/>
  <c r="BH76" i="10"/>
  <c r="P791" i="10" s="1"/>
  <c r="BF76" i="10"/>
  <c r="P789" i="10" s="1"/>
  <c r="BE76" i="10"/>
  <c r="P788" i="10" s="1"/>
  <c r="BD76" i="10"/>
  <c r="P787" i="10" s="1"/>
  <c r="BA76" i="10"/>
  <c r="P784" i="10" s="1"/>
  <c r="AY76" i="10"/>
  <c r="P782" i="10" s="1"/>
  <c r="AV76" i="10"/>
  <c r="P779" i="10" s="1"/>
  <c r="AG76" i="10"/>
  <c r="P764" i="10" s="1"/>
  <c r="AE76" i="10"/>
  <c r="P762" i="10" s="1"/>
  <c r="AC76" i="10"/>
  <c r="P760" i="10" s="1"/>
  <c r="AB76" i="10"/>
  <c r="Y76" i="10"/>
  <c r="U76" i="10"/>
  <c r="P752" i="10" s="1"/>
  <c r="P76" i="10"/>
  <c r="P747" i="10" s="1"/>
  <c r="E76" i="10"/>
  <c r="P736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F75" i="10"/>
  <c r="N763" i="10" s="1"/>
  <c r="AE75" i="10"/>
  <c r="N762" i="10" s="1"/>
  <c r="AD75" i="10"/>
  <c r="N761" i="10" s="1"/>
  <c r="AC75" i="10"/>
  <c r="N760" i="10" s="1"/>
  <c r="AA75" i="10"/>
  <c r="N758" i="10" s="1"/>
  <c r="Z75" i="10"/>
  <c r="N757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D75" i="10"/>
  <c r="N735" i="10" s="1"/>
  <c r="C75" i="10"/>
  <c r="N734" i="10" s="1"/>
  <c r="AV74" i="10"/>
  <c r="AV75" i="10" s="1"/>
  <c r="N779" i="10" s="1"/>
  <c r="AG74" i="10"/>
  <c r="AB74" i="10"/>
  <c r="Y74" i="10"/>
  <c r="Y75" i="10" s="1"/>
  <c r="N756" i="10" s="1"/>
  <c r="U74" i="10"/>
  <c r="P74" i="10"/>
  <c r="E74" i="10"/>
  <c r="E75" i="10" s="1"/>
  <c r="N736" i="10" s="1"/>
  <c r="AG73" i="10"/>
  <c r="O764" i="10" s="1"/>
  <c r="AB73" i="10"/>
  <c r="Y73" i="10"/>
  <c r="O756" i="10" s="1"/>
  <c r="P73" i="10"/>
  <c r="O747" i="10" s="1"/>
  <c r="E73" i="10"/>
  <c r="CD70" i="10"/>
  <c r="V813" i="10" s="1"/>
  <c r="V815" i="10" s="1"/>
  <c r="BO70" i="10"/>
  <c r="M798" i="10" s="1"/>
  <c r="AP70" i="10"/>
  <c r="AB70" i="10"/>
  <c r="M759" i="10" s="1"/>
  <c r="CD69" i="10"/>
  <c r="CC69" i="10"/>
  <c r="L812" i="10" s="1"/>
  <c r="BY69" i="10"/>
  <c r="L808" i="10" s="1"/>
  <c r="BN69" i="10"/>
  <c r="L797" i="10" s="1"/>
  <c r="AP69" i="10"/>
  <c r="L773" i="10" s="1"/>
  <c r="AG69" i="10"/>
  <c r="L764" i="10" s="1"/>
  <c r="AB69" i="10"/>
  <c r="L759" i="10" s="1"/>
  <c r="Y69" i="10"/>
  <c r="L756" i="10" s="1"/>
  <c r="R69" i="10"/>
  <c r="L749" i="10" s="1"/>
  <c r="P69" i="10"/>
  <c r="L747" i="10" s="1"/>
  <c r="E69" i="10"/>
  <c r="L736" i="10" s="1"/>
  <c r="CC68" i="10"/>
  <c r="K812" i="10" s="1"/>
  <c r="BY68" i="10"/>
  <c r="K808" i="10" s="1"/>
  <c r="BN68" i="10"/>
  <c r="K797" i="10" s="1"/>
  <c r="AG68" i="10"/>
  <c r="K764" i="10" s="1"/>
  <c r="Y68" i="10"/>
  <c r="K756" i="10" s="1"/>
  <c r="P68" i="10"/>
  <c r="E68" i="10"/>
  <c r="K736" i="10" s="1"/>
  <c r="CC66" i="10"/>
  <c r="I812" i="10" s="1"/>
  <c r="BY66" i="10"/>
  <c r="I808" i="10" s="1"/>
  <c r="BR66" i="10"/>
  <c r="I801" i="10" s="1"/>
  <c r="BN66" i="10"/>
  <c r="I797" i="10" s="1"/>
  <c r="BH66" i="10"/>
  <c r="I791" i="10" s="1"/>
  <c r="AG66" i="10"/>
  <c r="I764" i="10" s="1"/>
  <c r="AB66" i="10"/>
  <c r="I759" i="10" s="1"/>
  <c r="Y66" i="10"/>
  <c r="I756" i="10" s="1"/>
  <c r="P66" i="10"/>
  <c r="I747" i="10" s="1"/>
  <c r="E66" i="10"/>
  <c r="CC65" i="10"/>
  <c r="H812" i="10" s="1"/>
  <c r="BY65" i="10"/>
  <c r="H808" i="10" s="1"/>
  <c r="BN65" i="10"/>
  <c r="H797" i="10" s="1"/>
  <c r="BE65" i="10"/>
  <c r="H788" i="10" s="1"/>
  <c r="Y65" i="10"/>
  <c r="H756" i="10" s="1"/>
  <c r="E65" i="10"/>
  <c r="CC64" i="10"/>
  <c r="G812" i="10" s="1"/>
  <c r="BY64" i="10"/>
  <c r="G808" i="10" s="1"/>
  <c r="BR64" i="10"/>
  <c r="G801" i="10" s="1"/>
  <c r="BN64" i="10"/>
  <c r="G797" i="10" s="1"/>
  <c r="AG64" i="10"/>
  <c r="G764" i="10" s="1"/>
  <c r="AB64" i="10"/>
  <c r="G759" i="10" s="1"/>
  <c r="Y64" i="10"/>
  <c r="G756" i="10" s="1"/>
  <c r="S64" i="10"/>
  <c r="G750" i="10" s="1"/>
  <c r="P64" i="10"/>
  <c r="G747" i="10" s="1"/>
  <c r="E64" i="10"/>
  <c r="G736" i="10" s="1"/>
  <c r="BN63" i="10"/>
  <c r="F797" i="10" s="1"/>
  <c r="AP63" i="10"/>
  <c r="F773" i="10" s="1"/>
  <c r="AG63" i="10"/>
  <c r="F764" i="10" s="1"/>
  <c r="E63" i="10"/>
  <c r="F736" i="10" s="1"/>
  <c r="CC61" i="10"/>
  <c r="D812" i="10" s="1"/>
  <c r="BY61" i="10"/>
  <c r="D808" i="10" s="1"/>
  <c r="BR61" i="10"/>
  <c r="BN61" i="10"/>
  <c r="AG61" i="10"/>
  <c r="D764" i="10" s="1"/>
  <c r="AB61" i="10"/>
  <c r="D759" i="10" s="1"/>
  <c r="Y61" i="10"/>
  <c r="P61" i="10"/>
  <c r="D747" i="10" s="1"/>
  <c r="E61" i="10"/>
  <c r="D736" i="10" s="1"/>
  <c r="CC60" i="10"/>
  <c r="C812" i="10" s="1"/>
  <c r="BY60" i="10"/>
  <c r="C808" i="10" s="1"/>
  <c r="BV60" i="10"/>
  <c r="C805" i="10" s="1"/>
  <c r="BR60" i="10"/>
  <c r="C801" i="10" s="1"/>
  <c r="BM60" i="10"/>
  <c r="C796" i="10" s="1"/>
  <c r="AP60" i="10"/>
  <c r="C773" i="10" s="1"/>
  <c r="AB60" i="10"/>
  <c r="C759" i="10" s="1"/>
  <c r="Y60" i="10"/>
  <c r="C756" i="10" s="1"/>
  <c r="Y59" i="10"/>
  <c r="E59" i="10"/>
  <c r="B52" i="10"/>
  <c r="CE51" i="10"/>
  <c r="B49" i="10"/>
  <c r="CC47" i="10"/>
  <c r="BY47" i="10"/>
  <c r="BR47" i="10"/>
  <c r="BN47" i="10"/>
  <c r="AG47" i="10"/>
  <c r="AB47" i="10"/>
  <c r="AA47" i="10"/>
  <c r="Y47" i="10"/>
  <c r="P47" i="10"/>
  <c r="E47" i="10"/>
  <c r="CE74" i="10" l="1"/>
  <c r="C464" i="10" s="1"/>
  <c r="B204" i="10"/>
  <c r="BW78" i="10"/>
  <c r="R806" i="10" s="1"/>
  <c r="BY78" i="10"/>
  <c r="R808" i="10" s="1"/>
  <c r="AV78" i="10"/>
  <c r="R779" i="10" s="1"/>
  <c r="E197" i="10"/>
  <c r="C470" i="10" s="1"/>
  <c r="CA78" i="10"/>
  <c r="R810" i="10" s="1"/>
  <c r="E78" i="10"/>
  <c r="R736" i="10" s="1"/>
  <c r="E198" i="10"/>
  <c r="C471" i="10" s="1"/>
  <c r="D260" i="10"/>
  <c r="CE79" i="10"/>
  <c r="S816" i="10" s="1"/>
  <c r="D173" i="10"/>
  <c r="D428" i="10" s="1"/>
  <c r="D390" i="10"/>
  <c r="B441" i="10" s="1"/>
  <c r="B440" i="10"/>
  <c r="CE61" i="10"/>
  <c r="N48" i="10" s="1"/>
  <c r="N62" i="10" s="1"/>
  <c r="D816" i="10"/>
  <c r="BZ48" i="10"/>
  <c r="BZ62" i="10" s="1"/>
  <c r="BR48" i="10"/>
  <c r="BR62" i="10" s="1"/>
  <c r="E801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F48" i="10"/>
  <c r="F62" i="10" s="1"/>
  <c r="BV48" i="10"/>
  <c r="BV62" i="10" s="1"/>
  <c r="BN48" i="10"/>
  <c r="BN62" i="10" s="1"/>
  <c r="E797" i="10" s="1"/>
  <c r="BF48" i="10"/>
  <c r="BF62" i="10" s="1"/>
  <c r="AX48" i="10"/>
  <c r="AX62" i="10" s="1"/>
  <c r="AP48" i="10"/>
  <c r="AP62" i="10" s="1"/>
  <c r="E773" i="10" s="1"/>
  <c r="AH48" i="10"/>
  <c r="AH62" i="10" s="1"/>
  <c r="Z48" i="10"/>
  <c r="Z62" i="10" s="1"/>
  <c r="R48" i="10"/>
  <c r="R62" i="10" s="1"/>
  <c r="J48" i="10"/>
  <c r="J62" i="10" s="1"/>
  <c r="CA48" i="10"/>
  <c r="CA62" i="10" s="1"/>
  <c r="BP48" i="10"/>
  <c r="BP62" i="10" s="1"/>
  <c r="BE48" i="10"/>
  <c r="BE62" i="10" s="1"/>
  <c r="AU48" i="10"/>
  <c r="AU62" i="10" s="1"/>
  <c r="AJ48" i="10"/>
  <c r="AJ62" i="10" s="1"/>
  <c r="Y48" i="10"/>
  <c r="O48" i="10"/>
  <c r="O62" i="10" s="1"/>
  <c r="D48" i="10"/>
  <c r="D62" i="10" s="1"/>
  <c r="BY48" i="10"/>
  <c r="BD48" i="10"/>
  <c r="BD62" i="10" s="1"/>
  <c r="AS48" i="10"/>
  <c r="AS62" i="10" s="1"/>
  <c r="X48" i="10"/>
  <c r="X62" i="10" s="1"/>
  <c r="C48" i="10"/>
  <c r="CB48" i="10"/>
  <c r="CB62" i="10" s="1"/>
  <c r="AA48" i="10"/>
  <c r="AA62" i="10" s="1"/>
  <c r="BO48" i="10"/>
  <c r="BO62" i="10" s="1"/>
  <c r="AI48" i="10"/>
  <c r="AI62" i="10" s="1"/>
  <c r="M48" i="10"/>
  <c r="M62" i="10" s="1"/>
  <c r="AV48" i="10"/>
  <c r="AV62" i="10" s="1"/>
  <c r="BX48" i="10"/>
  <c r="BX62" i="10" s="1"/>
  <c r="BM48" i="10"/>
  <c r="BM62" i="10" s="1"/>
  <c r="BC48" i="10"/>
  <c r="BC62" i="10" s="1"/>
  <c r="AR48" i="10"/>
  <c r="AR62" i="10" s="1"/>
  <c r="AG48" i="10"/>
  <c r="AG62" i="10" s="1"/>
  <c r="E764" i="10" s="1"/>
  <c r="W48" i="10"/>
  <c r="W62" i="10" s="1"/>
  <c r="L48" i="10"/>
  <c r="L62" i="10" s="1"/>
  <c r="K48" i="10"/>
  <c r="K62" i="10" s="1"/>
  <c r="BK48" i="10"/>
  <c r="BK62" i="10" s="1"/>
  <c r="AO48" i="10"/>
  <c r="AO62" i="10" s="1"/>
  <c r="T48" i="10"/>
  <c r="T62" i="10" s="1"/>
  <c r="BT48" i="10"/>
  <c r="BT62" i="10" s="1"/>
  <c r="AC48" i="10"/>
  <c r="AC62" i="10" s="1"/>
  <c r="P48" i="10"/>
  <c r="P62" i="10" s="1"/>
  <c r="BW48" i="10"/>
  <c r="BW62" i="10" s="1"/>
  <c r="BL48" i="10"/>
  <c r="BL62" i="10" s="1"/>
  <c r="BA48" i="10"/>
  <c r="BA62" i="10" s="1"/>
  <c r="AQ48" i="10"/>
  <c r="AQ62" i="10" s="1"/>
  <c r="AF48" i="10"/>
  <c r="AF62" i="10" s="1"/>
  <c r="U48" i="10"/>
  <c r="U62" i="10" s="1"/>
  <c r="BU48" i="10"/>
  <c r="BU62" i="10" s="1"/>
  <c r="AZ48" i="10"/>
  <c r="AZ62" i="10" s="1"/>
  <c r="AE48" i="10"/>
  <c r="AE62" i="10" s="1"/>
  <c r="BI48" i="10"/>
  <c r="BI62" i="10" s="1"/>
  <c r="S48" i="10"/>
  <c r="S62" i="10" s="1"/>
  <c r="E48" i="10"/>
  <c r="E62" i="10" s="1"/>
  <c r="C427" i="10"/>
  <c r="I48" i="10"/>
  <c r="I62" i="10" s="1"/>
  <c r="AN48" i="10"/>
  <c r="AN62" i="10" s="1"/>
  <c r="H48" i="10"/>
  <c r="H62" i="10" s="1"/>
  <c r="AK48" i="10"/>
  <c r="AK62" i="10" s="1"/>
  <c r="AY48" i="10"/>
  <c r="AY62" i="10" s="1"/>
  <c r="BG48" i="10"/>
  <c r="BG62" i="10" s="1"/>
  <c r="CC48" i="10"/>
  <c r="BS48" i="10"/>
  <c r="BS62" i="10" s="1"/>
  <c r="BH48" i="10"/>
  <c r="BH62" i="10" s="1"/>
  <c r="AW48" i="10"/>
  <c r="AW62" i="10" s="1"/>
  <c r="AM48" i="10"/>
  <c r="AM62" i="10" s="1"/>
  <c r="AB48" i="10"/>
  <c r="AB62" i="10" s="1"/>
  <c r="Q48" i="10"/>
  <c r="Q62" i="10" s="1"/>
  <c r="G48" i="10"/>
  <c r="G62" i="10" s="1"/>
  <c r="BQ48" i="10"/>
  <c r="BQ62" i="10" s="1"/>
  <c r="CE60" i="10"/>
  <c r="K747" i="10"/>
  <c r="CE68" i="10"/>
  <c r="U813" i="10"/>
  <c r="U815" i="10" s="1"/>
  <c r="CD71" i="10"/>
  <c r="C575" i="10" s="1"/>
  <c r="C615" i="10"/>
  <c r="C438" i="10"/>
  <c r="J612" i="10"/>
  <c r="F496" i="10"/>
  <c r="H504" i="10"/>
  <c r="F504" i="10"/>
  <c r="F512" i="10"/>
  <c r="F522" i="10"/>
  <c r="CE69" i="10"/>
  <c r="O736" i="10"/>
  <c r="CE73" i="10"/>
  <c r="D801" i="10"/>
  <c r="AJ730" i="10"/>
  <c r="D314" i="10"/>
  <c r="D339" i="10" s="1"/>
  <c r="C482" i="10" s="1"/>
  <c r="AG75" i="10"/>
  <c r="N764" i="10" s="1"/>
  <c r="L722" i="10"/>
  <c r="D181" i="10"/>
  <c r="P75" i="10"/>
  <c r="N747" i="10" s="1"/>
  <c r="CE47" i="10"/>
  <c r="B53" i="10"/>
  <c r="D756" i="10"/>
  <c r="I736" i="10"/>
  <c r="I815" i="10" s="1"/>
  <c r="CE66" i="10"/>
  <c r="M773" i="10"/>
  <c r="M815" i="10" s="1"/>
  <c r="CE70" i="10"/>
  <c r="D292" i="10"/>
  <c r="D341" i="10" s="1"/>
  <c r="C481" i="10" s="1"/>
  <c r="H525" i="10"/>
  <c r="F525" i="10"/>
  <c r="AI726" i="10"/>
  <c r="E139" i="10"/>
  <c r="C415" i="10" s="1"/>
  <c r="CE63" i="10"/>
  <c r="BY62" i="10"/>
  <c r="CC62" i="10"/>
  <c r="E812" i="10" s="1"/>
  <c r="CE64" i="10"/>
  <c r="O759" i="10"/>
  <c r="AB75" i="10"/>
  <c r="N759" i="10" s="1"/>
  <c r="B756" i="10"/>
  <c r="E518" i="10"/>
  <c r="Y62" i="10"/>
  <c r="E756" i="10" s="1"/>
  <c r="P756" i="10"/>
  <c r="Y78" i="10"/>
  <c r="R756" i="10" s="1"/>
  <c r="CE76" i="10"/>
  <c r="BK730" i="10"/>
  <c r="B464" i="10"/>
  <c r="D361" i="10"/>
  <c r="F516" i="10"/>
  <c r="H736" i="10"/>
  <c r="H815" i="10" s="1"/>
  <c r="CE65" i="10"/>
  <c r="B736" i="10"/>
  <c r="E498" i="10"/>
  <c r="D415" i="10"/>
  <c r="D797" i="10"/>
  <c r="P759" i="10"/>
  <c r="AB78" i="10"/>
  <c r="R759" i="10" s="1"/>
  <c r="BI722" i="10"/>
  <c r="C217" i="10"/>
  <c r="D433" i="10" s="1"/>
  <c r="E213" i="10"/>
  <c r="E217" i="10" s="1"/>
  <c r="C478" i="10" s="1"/>
  <c r="Q815" i="10"/>
  <c r="BK78" i="10"/>
  <c r="R794" i="10" s="1"/>
  <c r="C204" i="10"/>
  <c r="B444" i="10"/>
  <c r="F498" i="10"/>
  <c r="F506" i="10"/>
  <c r="F518" i="10"/>
  <c r="F529" i="10"/>
  <c r="F532" i="10"/>
  <c r="H537" i="10"/>
  <c r="F537" i="10"/>
  <c r="AE78" i="10"/>
  <c r="R762" i="10" s="1"/>
  <c r="BM78" i="10"/>
  <c r="R796" i="10" s="1"/>
  <c r="B476" i="10"/>
  <c r="F497" i="10"/>
  <c r="F505" i="10"/>
  <c r="F517" i="10"/>
  <c r="F546" i="10"/>
  <c r="CE77" i="10"/>
  <c r="AG78" i="10"/>
  <c r="R764" i="10" s="1"/>
  <c r="BA78" i="10"/>
  <c r="R784" i="10" s="1"/>
  <c r="CE80" i="10"/>
  <c r="M817" i="10"/>
  <c r="BO730" i="10"/>
  <c r="C439" i="10"/>
  <c r="D141" i="10"/>
  <c r="AK726" i="10" s="1"/>
  <c r="E195" i="10"/>
  <c r="D242" i="10"/>
  <c r="B448" i="10" s="1"/>
  <c r="D372" i="10"/>
  <c r="F528" i="10"/>
  <c r="T815" i="10"/>
  <c r="U78" i="10"/>
  <c r="R752" i="10" s="1"/>
  <c r="R815" i="10" s="1"/>
  <c r="F524" i="10"/>
  <c r="BH78" i="10"/>
  <c r="R791" i="10" s="1"/>
  <c r="BV78" i="10"/>
  <c r="R805" i="10" s="1"/>
  <c r="L817" i="10"/>
  <c r="CC730" i="10"/>
  <c r="B470" i="10"/>
  <c r="H545" i="10"/>
  <c r="F545" i="10"/>
  <c r="F815" i="10"/>
  <c r="G815" i="10"/>
  <c r="S815" i="10"/>
  <c r="K815" i="10"/>
  <c r="C815" i="10"/>
  <c r="O815" i="10" l="1"/>
  <c r="D815" i="10"/>
  <c r="CE78" i="10"/>
  <c r="N815" i="10"/>
  <c r="P815" i="10"/>
  <c r="E736" i="10"/>
  <c r="E759" i="10"/>
  <c r="E747" i="10"/>
  <c r="E758" i="10"/>
  <c r="BJ52" i="10"/>
  <c r="BJ67" i="10" s="1"/>
  <c r="J793" i="10" s="1"/>
  <c r="N817" i="10"/>
  <c r="D368" i="10"/>
  <c r="D373" i="10" s="1"/>
  <c r="D391" i="10" s="1"/>
  <c r="D393" i="10" s="1"/>
  <c r="D396" i="10" s="1"/>
  <c r="B465" i="10"/>
  <c r="F816" i="10"/>
  <c r="C429" i="10"/>
  <c r="M816" i="10"/>
  <c r="C458" i="10"/>
  <c r="E780" i="10"/>
  <c r="E771" i="10"/>
  <c r="E804" i="10"/>
  <c r="E760" i="10"/>
  <c r="E798" i="10"/>
  <c r="E735" i="10"/>
  <c r="E741" i="10"/>
  <c r="E805" i="10"/>
  <c r="E793" i="10"/>
  <c r="Q816" i="10"/>
  <c r="CF77" i="10"/>
  <c r="G612" i="10"/>
  <c r="L816" i="10"/>
  <c r="C440" i="10"/>
  <c r="K816" i="10"/>
  <c r="C434" i="10"/>
  <c r="E791" i="10"/>
  <c r="E740" i="10"/>
  <c r="E752" i="10"/>
  <c r="E803" i="10"/>
  <c r="E775" i="10"/>
  <c r="E746" i="10"/>
  <c r="E749" i="10"/>
  <c r="E737" i="10"/>
  <c r="CE75" i="10"/>
  <c r="E763" i="10"/>
  <c r="E811" i="10"/>
  <c r="E745" i="10"/>
  <c r="E809" i="10"/>
  <c r="E786" i="10"/>
  <c r="E800" i="10"/>
  <c r="E774" i="10"/>
  <c r="E772" i="10"/>
  <c r="E796" i="10"/>
  <c r="E767" i="10"/>
  <c r="E765" i="10"/>
  <c r="E753" i="10"/>
  <c r="T816" i="10"/>
  <c r="L612" i="10"/>
  <c r="E751" i="10"/>
  <c r="BI730" i="10"/>
  <c r="C816" i="10"/>
  <c r="H612" i="10"/>
  <c r="CE48" i="10"/>
  <c r="C62" i="10"/>
  <c r="H816" i="10"/>
  <c r="C431" i="10"/>
  <c r="N52" i="10"/>
  <c r="N67" i="10" s="1"/>
  <c r="J745" i="10" s="1"/>
  <c r="X52" i="10"/>
  <c r="X67" i="10" s="1"/>
  <c r="J755" i="10" s="1"/>
  <c r="E738" i="10"/>
  <c r="E790" i="10"/>
  <c r="E750" i="10"/>
  <c r="E784" i="10"/>
  <c r="E794" i="10"/>
  <c r="E807" i="10"/>
  <c r="E755" i="10"/>
  <c r="E778" i="10"/>
  <c r="E761" i="10"/>
  <c r="R816" i="10"/>
  <c r="I612" i="10"/>
  <c r="E802" i="10"/>
  <c r="E757" i="10"/>
  <c r="P816" i="10"/>
  <c r="D612" i="10"/>
  <c r="Q52" i="10"/>
  <c r="Q67" i="10" s="1"/>
  <c r="J748" i="10" s="1"/>
  <c r="BF52" i="10"/>
  <c r="BF67" i="10" s="1"/>
  <c r="J789" i="10" s="1"/>
  <c r="AK52" i="10"/>
  <c r="AK67" i="10" s="1"/>
  <c r="J768" i="10" s="1"/>
  <c r="CF76" i="10"/>
  <c r="AT52" i="10" s="1"/>
  <c r="AT67" i="10" s="1"/>
  <c r="BQ52" i="10"/>
  <c r="BQ67" i="10" s="1"/>
  <c r="J800" i="10" s="1"/>
  <c r="E52" i="10"/>
  <c r="E67" i="10" s="1"/>
  <c r="J736" i="10" s="1"/>
  <c r="R52" i="10"/>
  <c r="R67" i="10" s="1"/>
  <c r="J749" i="10" s="1"/>
  <c r="AP52" i="10"/>
  <c r="AP67" i="10" s="1"/>
  <c r="BA52" i="10"/>
  <c r="BA67" i="10" s="1"/>
  <c r="J784" i="10" s="1"/>
  <c r="BL52" i="10"/>
  <c r="BL67" i="10" s="1"/>
  <c r="J795" i="10" s="1"/>
  <c r="BX52" i="10"/>
  <c r="BX67" i="10" s="1"/>
  <c r="J807" i="10" s="1"/>
  <c r="U52" i="10"/>
  <c r="U67" i="10" s="1"/>
  <c r="J752" i="10" s="1"/>
  <c r="AN52" i="10"/>
  <c r="AN67" i="10" s="1"/>
  <c r="J771" i="10" s="1"/>
  <c r="I816" i="10"/>
  <c r="C432" i="10"/>
  <c r="L815" i="10"/>
  <c r="G816" i="10"/>
  <c r="C430" i="10"/>
  <c r="F612" i="10"/>
  <c r="AZ52" i="10"/>
  <c r="AZ67" i="10" s="1"/>
  <c r="J783" i="10" s="1"/>
  <c r="E748" i="10"/>
  <c r="E782" i="10"/>
  <c r="E792" i="10"/>
  <c r="E795" i="10"/>
  <c r="BL71" i="10"/>
  <c r="E742" i="10"/>
  <c r="E779" i="10"/>
  <c r="E776" i="10"/>
  <c r="E788" i="10"/>
  <c r="E781" i="10"/>
  <c r="E769" i="10"/>
  <c r="E768" i="10"/>
  <c r="E762" i="10"/>
  <c r="E806" i="10"/>
  <c r="E743" i="10"/>
  <c r="E744" i="10"/>
  <c r="E787" i="10"/>
  <c r="E799" i="10"/>
  <c r="E789" i="10"/>
  <c r="BF71" i="10"/>
  <c r="E777" i="10"/>
  <c r="E141" i="10"/>
  <c r="D463" i="10" s="1"/>
  <c r="C468" i="10"/>
  <c r="E204" i="10"/>
  <c r="C476" i="10" s="1"/>
  <c r="D142" i="10"/>
  <c r="E808" i="10"/>
  <c r="D435" i="10"/>
  <c r="D438" i="10"/>
  <c r="O816" i="10"/>
  <c r="C463" i="10"/>
  <c r="E770" i="10"/>
  <c r="E739" i="10"/>
  <c r="E783" i="10"/>
  <c r="E754" i="10"/>
  <c r="E766" i="10"/>
  <c r="E810" i="10"/>
  <c r="E785" i="10"/>
  <c r="BU52" i="10"/>
  <c r="BU67" i="10" s="1"/>
  <c r="J804" i="10" s="1"/>
  <c r="C52" i="10" l="1"/>
  <c r="AE52" i="10"/>
  <c r="AE67" i="10" s="1"/>
  <c r="E71" i="10"/>
  <c r="AI52" i="10"/>
  <c r="AI67" i="10" s="1"/>
  <c r="J766" i="10" s="1"/>
  <c r="AG52" i="10"/>
  <c r="AG67" i="10" s="1"/>
  <c r="BH52" i="10"/>
  <c r="BH67" i="10" s="1"/>
  <c r="J791" i="10" s="1"/>
  <c r="D52" i="10"/>
  <c r="D67" i="10" s="1"/>
  <c r="J735" i="10" s="1"/>
  <c r="J52" i="10"/>
  <c r="J67" i="10" s="1"/>
  <c r="J741" i="10" s="1"/>
  <c r="BR52" i="10"/>
  <c r="BR67" i="10" s="1"/>
  <c r="J801" i="10" s="1"/>
  <c r="BY52" i="10"/>
  <c r="BY67" i="10" s="1"/>
  <c r="S52" i="10"/>
  <c r="S67" i="10" s="1"/>
  <c r="J750" i="10" s="1"/>
  <c r="J777" i="10"/>
  <c r="AT71" i="10"/>
  <c r="BX71" i="10"/>
  <c r="N816" i="10"/>
  <c r="K612" i="10"/>
  <c r="C465" i="10"/>
  <c r="AK71" i="10"/>
  <c r="BK52" i="10"/>
  <c r="BK67" i="10" s="1"/>
  <c r="AU52" i="10"/>
  <c r="AU67" i="10" s="1"/>
  <c r="AC52" i="10"/>
  <c r="AC67" i="10" s="1"/>
  <c r="V52" i="10"/>
  <c r="V67" i="10" s="1"/>
  <c r="Z52" i="10"/>
  <c r="Z67" i="10" s="1"/>
  <c r="CC52" i="10"/>
  <c r="CC67" i="10" s="1"/>
  <c r="AH52" i="10"/>
  <c r="AH67" i="10" s="1"/>
  <c r="N71" i="10"/>
  <c r="I52" i="10"/>
  <c r="I67" i="10" s="1"/>
  <c r="BD52" i="10"/>
  <c r="BD67" i="10" s="1"/>
  <c r="M52" i="10"/>
  <c r="M67" i="10" s="1"/>
  <c r="AF52" i="10"/>
  <c r="AF67" i="10" s="1"/>
  <c r="AR52" i="10"/>
  <c r="AR67" i="10" s="1"/>
  <c r="AV52" i="10"/>
  <c r="AV67" i="10" s="1"/>
  <c r="F52" i="10"/>
  <c r="F67" i="10" s="1"/>
  <c r="Y52" i="10"/>
  <c r="Y67" i="10" s="1"/>
  <c r="BU71" i="10"/>
  <c r="C637" i="10"/>
  <c r="C557" i="10"/>
  <c r="AZ71" i="10"/>
  <c r="C551" i="10"/>
  <c r="C629" i="10"/>
  <c r="BQ71" i="10"/>
  <c r="U71" i="10"/>
  <c r="BH71" i="10"/>
  <c r="E734" i="10"/>
  <c r="E815" i="10" s="1"/>
  <c r="CE62" i="10"/>
  <c r="AY52" i="10"/>
  <c r="AY67" i="10" s="1"/>
  <c r="CA52" i="10"/>
  <c r="CA67" i="10" s="1"/>
  <c r="O52" i="10"/>
  <c r="O67" i="10" s="1"/>
  <c r="BZ52" i="10"/>
  <c r="BZ67" i="10" s="1"/>
  <c r="BP52" i="10"/>
  <c r="BP67" i="10" s="1"/>
  <c r="BS52" i="10"/>
  <c r="BS67" i="10" s="1"/>
  <c r="AO52" i="10"/>
  <c r="AO67" i="10" s="1"/>
  <c r="AM52" i="10"/>
  <c r="AM67" i="10" s="1"/>
  <c r="CB52" i="10"/>
  <c r="CB67" i="10" s="1"/>
  <c r="BW52" i="10"/>
  <c r="BW67" i="10" s="1"/>
  <c r="AS52" i="10"/>
  <c r="AS67" i="10" s="1"/>
  <c r="AJ52" i="10"/>
  <c r="AJ67" i="10" s="1"/>
  <c r="G52" i="10"/>
  <c r="G67" i="10" s="1"/>
  <c r="K52" i="10"/>
  <c r="K67" i="10" s="1"/>
  <c r="T52" i="10"/>
  <c r="T67" i="10" s="1"/>
  <c r="BG52" i="10"/>
  <c r="BG67" i="10" s="1"/>
  <c r="BV52" i="10"/>
  <c r="BV67" i="10" s="1"/>
  <c r="W52" i="10"/>
  <c r="W67" i="10" s="1"/>
  <c r="BN52" i="10"/>
  <c r="BN67" i="10" s="1"/>
  <c r="BE52" i="10"/>
  <c r="BE67" i="10" s="1"/>
  <c r="AQ52" i="10"/>
  <c r="AQ67" i="10" s="1"/>
  <c r="BA71" i="10"/>
  <c r="BR71" i="10"/>
  <c r="AL726" i="10"/>
  <c r="E142" i="10"/>
  <c r="D464" i="10" s="1"/>
  <c r="D465" i="10" s="1"/>
  <c r="Q71" i="10"/>
  <c r="H52" i="10"/>
  <c r="H67" i="10" s="1"/>
  <c r="BM52" i="10"/>
  <c r="BM67" i="10" s="1"/>
  <c r="L52" i="10"/>
  <c r="L67" i="10" s="1"/>
  <c r="BT52" i="10"/>
  <c r="BT67" i="10" s="1"/>
  <c r="AL52" i="10"/>
  <c r="AL67" i="10" s="1"/>
  <c r="AA52" i="10"/>
  <c r="AA67" i="10" s="1"/>
  <c r="R71" i="10"/>
  <c r="J773" i="10"/>
  <c r="AP71" i="10"/>
  <c r="AB52" i="10"/>
  <c r="AB67" i="10" s="1"/>
  <c r="D71" i="10"/>
  <c r="AN71" i="10"/>
  <c r="AD52" i="10"/>
  <c r="AD67" i="10" s="1"/>
  <c r="BI52" i="10"/>
  <c r="BI67" i="10" s="1"/>
  <c r="AX52" i="10"/>
  <c r="AX67" i="10" s="1"/>
  <c r="BB52" i="10"/>
  <c r="BB67" i="10" s="1"/>
  <c r="P52" i="10"/>
  <c r="P67" i="10" s="1"/>
  <c r="AW52" i="10"/>
  <c r="AW67" i="10" s="1"/>
  <c r="X71" i="10"/>
  <c r="BC52" i="10"/>
  <c r="BC67" i="10" s="1"/>
  <c r="BO52" i="10"/>
  <c r="BO67" i="10" s="1"/>
  <c r="BJ71" i="10"/>
  <c r="C67" i="10"/>
  <c r="C71" i="10" s="1"/>
  <c r="C670" i="10"/>
  <c r="C498" i="10"/>
  <c r="J808" i="10" l="1"/>
  <c r="BY71" i="10"/>
  <c r="J764" i="10"/>
  <c r="AG71" i="10"/>
  <c r="S71" i="10"/>
  <c r="C684" i="10" s="1"/>
  <c r="AI71" i="10"/>
  <c r="J762" i="10"/>
  <c r="AE71" i="10"/>
  <c r="J71" i="10"/>
  <c r="C503" i="10" s="1"/>
  <c r="C668" i="10"/>
  <c r="C496" i="10"/>
  <c r="J769" i="10"/>
  <c r="AL71" i="10"/>
  <c r="C563" i="10"/>
  <c r="C626" i="10"/>
  <c r="J751" i="10"/>
  <c r="T71" i="10"/>
  <c r="J772" i="10"/>
  <c r="AO71" i="10"/>
  <c r="E816" i="10"/>
  <c r="C428" i="10"/>
  <c r="J737" i="10"/>
  <c r="F71" i="10"/>
  <c r="J765" i="10"/>
  <c r="AH71" i="10"/>
  <c r="CE52" i="10"/>
  <c r="J747" i="10"/>
  <c r="P71" i="10"/>
  <c r="J759" i="10"/>
  <c r="AB71" i="10"/>
  <c r="J803" i="10"/>
  <c r="BT71" i="10"/>
  <c r="C630" i="10"/>
  <c r="C546" i="10"/>
  <c r="J742" i="10"/>
  <c r="K71" i="10"/>
  <c r="J802" i="10"/>
  <c r="BS71" i="10"/>
  <c r="J779" i="10"/>
  <c r="AV71" i="10"/>
  <c r="J812" i="10"/>
  <c r="CC71" i="10"/>
  <c r="C707" i="10"/>
  <c r="C535" i="10"/>
  <c r="J799" i="10"/>
  <c r="BP71" i="10"/>
  <c r="J757" i="10"/>
  <c r="Z71" i="10"/>
  <c r="C512" i="10"/>
  <c r="J780" i="10"/>
  <c r="AW71" i="10"/>
  <c r="J734" i="10"/>
  <c r="CE67" i="10"/>
  <c r="J743" i="10"/>
  <c r="L71" i="10"/>
  <c r="J738" i="10"/>
  <c r="G71" i="10"/>
  <c r="C628" i="10"/>
  <c r="C545" i="10"/>
  <c r="G545" i="10" s="1"/>
  <c r="J796" i="10"/>
  <c r="BM71" i="10"/>
  <c r="J809" i="10"/>
  <c r="BZ71" i="10"/>
  <c r="C644" i="10"/>
  <c r="C569" i="10"/>
  <c r="C705" i="10"/>
  <c r="C533" i="10"/>
  <c r="G533" i="10" s="1"/>
  <c r="C555" i="10"/>
  <c r="C617" i="10"/>
  <c r="J788" i="10"/>
  <c r="BE71" i="10"/>
  <c r="J763" i="10"/>
  <c r="AF71" i="10"/>
  <c r="J798" i="10"/>
  <c r="BO71" i="10"/>
  <c r="J792" i="10"/>
  <c r="BI71" i="10"/>
  <c r="C683" i="10"/>
  <c r="C511" i="10"/>
  <c r="J739" i="10"/>
  <c r="H71" i="10"/>
  <c r="J797" i="10"/>
  <c r="BN71" i="10"/>
  <c r="J776" i="10"/>
  <c r="AS71" i="10"/>
  <c r="J746" i="10"/>
  <c r="O71" i="10"/>
  <c r="J744" i="10"/>
  <c r="M71" i="10"/>
  <c r="J760" i="10"/>
  <c r="AC71" i="10"/>
  <c r="J805" i="10"/>
  <c r="BV71" i="10"/>
  <c r="J785" i="10"/>
  <c r="BB71" i="10"/>
  <c r="J774" i="10"/>
  <c r="AQ71" i="10"/>
  <c r="J775" i="10"/>
  <c r="AR71" i="10"/>
  <c r="J781" i="10"/>
  <c r="AX71" i="10"/>
  <c r="J767" i="10"/>
  <c r="AJ71" i="10"/>
  <c r="J753" i="10"/>
  <c r="V71" i="10"/>
  <c r="J786" i="10"/>
  <c r="BC71" i="10"/>
  <c r="J761" i="10"/>
  <c r="AD71" i="10"/>
  <c r="C682" i="10"/>
  <c r="C510" i="10"/>
  <c r="J754" i="10"/>
  <c r="W71" i="10"/>
  <c r="J806" i="10"/>
  <c r="BW71" i="10"/>
  <c r="J810" i="10"/>
  <c r="CA71" i="10"/>
  <c r="C553" i="10"/>
  <c r="C636" i="10"/>
  <c r="C641" i="10"/>
  <c r="C566" i="10"/>
  <c r="J787" i="10"/>
  <c r="BD71" i="10"/>
  <c r="J778" i="10"/>
  <c r="AU71" i="10"/>
  <c r="J782" i="10"/>
  <c r="AY71" i="10"/>
  <c r="C686" i="10"/>
  <c r="C514" i="10"/>
  <c r="C675" i="10"/>
  <c r="J740" i="10"/>
  <c r="I71" i="10"/>
  <c r="J794" i="10"/>
  <c r="BK71" i="10"/>
  <c r="C711" i="10"/>
  <c r="C539" i="10"/>
  <c r="G539" i="10" s="1"/>
  <c r="J811" i="10"/>
  <c r="CB71" i="10"/>
  <c r="G498" i="10"/>
  <c r="H498" i="10" s="1"/>
  <c r="C689" i="10"/>
  <c r="C517" i="10"/>
  <c r="C669" i="10"/>
  <c r="C497" i="10"/>
  <c r="G497" i="10" s="1"/>
  <c r="J758" i="10"/>
  <c r="AA71" i="10"/>
  <c r="J790" i="10"/>
  <c r="BG71" i="10"/>
  <c r="J770" i="10"/>
  <c r="AM71" i="10"/>
  <c r="C700" i="10"/>
  <c r="C528" i="10"/>
  <c r="G528" i="10" s="1"/>
  <c r="C562" i="10"/>
  <c r="C623" i="10"/>
  <c r="J756" i="10"/>
  <c r="Y71" i="10"/>
  <c r="C679" i="10"/>
  <c r="C507" i="10"/>
  <c r="G507" i="10" s="1"/>
  <c r="C530" i="10"/>
  <c r="G530" i="10" s="1"/>
  <c r="C702" i="10"/>
  <c r="C524" i="10" l="1"/>
  <c r="C696" i="10"/>
  <c r="C526" i="10"/>
  <c r="G526" i="10" s="1"/>
  <c r="H526" i="10" s="1"/>
  <c r="C698" i="10"/>
  <c r="C645" i="10"/>
  <c r="C570" i="10"/>
  <c r="G514" i="10"/>
  <c r="H514" i="10"/>
  <c r="C642" i="10"/>
  <c r="C567" i="10"/>
  <c r="C671" i="10"/>
  <c r="C499" i="10"/>
  <c r="G499" i="10" s="1"/>
  <c r="C685" i="10"/>
  <c r="C513" i="10"/>
  <c r="G513" i="10" s="1"/>
  <c r="C710" i="10"/>
  <c r="C538" i="10"/>
  <c r="G538" i="10" s="1"/>
  <c r="C634" i="10"/>
  <c r="C554" i="10"/>
  <c r="C638" i="10"/>
  <c r="C558" i="10"/>
  <c r="J816" i="10"/>
  <c r="C433" i="10"/>
  <c r="C441" i="10" s="1"/>
  <c r="C621" i="10"/>
  <c r="C561" i="10"/>
  <c r="C564" i="10"/>
  <c r="C639" i="10"/>
  <c r="C693" i="10"/>
  <c r="C521" i="10"/>
  <c r="C695" i="10"/>
  <c r="C523" i="10"/>
  <c r="G523" i="10" s="1"/>
  <c r="C625" i="10"/>
  <c r="C544" i="10"/>
  <c r="C633" i="10"/>
  <c r="C548" i="10"/>
  <c r="C559" i="10"/>
  <c r="C619" i="10"/>
  <c r="C560" i="10"/>
  <c r="C627" i="10"/>
  <c r="C542" i="10"/>
  <c r="C631" i="10"/>
  <c r="G535" i="10"/>
  <c r="H535" i="10"/>
  <c r="C676" i="10"/>
  <c r="C504" i="10"/>
  <c r="G504" i="10" s="1"/>
  <c r="C681" i="10"/>
  <c r="C509" i="10"/>
  <c r="CE71" i="10"/>
  <c r="C716" i="10" s="1"/>
  <c r="G517" i="10"/>
  <c r="H517" i="10" s="1"/>
  <c r="C709" i="10"/>
  <c r="C537" i="10"/>
  <c r="G537" i="10" s="1"/>
  <c r="C690" i="10"/>
  <c r="C518" i="10"/>
  <c r="C552" i="10"/>
  <c r="C618" i="10"/>
  <c r="G510" i="10"/>
  <c r="H510" i="10" s="1"/>
  <c r="C687" i="10"/>
  <c r="C515" i="10"/>
  <c r="G515" i="10" s="1"/>
  <c r="C708" i="10"/>
  <c r="C536" i="10"/>
  <c r="G536" i="10" s="1"/>
  <c r="C678" i="10"/>
  <c r="C506" i="10"/>
  <c r="G506" i="10" s="1"/>
  <c r="C531" i="10"/>
  <c r="G531" i="10" s="1"/>
  <c r="C703" i="10"/>
  <c r="C549" i="10"/>
  <c r="C624" i="10"/>
  <c r="C616" i="10"/>
  <c r="C543" i="10"/>
  <c r="C704" i="10"/>
  <c r="C532" i="10"/>
  <c r="G532" i="10" s="1"/>
  <c r="C688" i="10"/>
  <c r="C516" i="10"/>
  <c r="J815" i="10"/>
  <c r="C674" i="10"/>
  <c r="C502" i="10"/>
  <c r="G502" i="10" s="1"/>
  <c r="C673" i="10"/>
  <c r="C501" i="10"/>
  <c r="G501" i="10" s="1"/>
  <c r="C697" i="10"/>
  <c r="C525" i="10"/>
  <c r="G525" i="10" s="1"/>
  <c r="C672" i="10"/>
  <c r="C500" i="10"/>
  <c r="G500" i="10" s="1"/>
  <c r="G512" i="10"/>
  <c r="H512" i="10"/>
  <c r="C574" i="10"/>
  <c r="C620" i="10"/>
  <c r="G546" i="10"/>
  <c r="H546" i="10"/>
  <c r="C568" i="10"/>
  <c r="C643" i="10"/>
  <c r="C556" i="10"/>
  <c r="C635" i="10"/>
  <c r="C694" i="10"/>
  <c r="C522" i="10"/>
  <c r="C692" i="10"/>
  <c r="C520" i="10"/>
  <c r="C622" i="10"/>
  <c r="C573" i="10"/>
  <c r="G503" i="10"/>
  <c r="H503" i="10" s="1"/>
  <c r="C712" i="10"/>
  <c r="C540" i="10"/>
  <c r="G540" i="10" s="1"/>
  <c r="C647" i="10"/>
  <c r="C572" i="10"/>
  <c r="C529" i="10"/>
  <c r="G529" i="10" s="1"/>
  <c r="C701" i="10"/>
  <c r="C632" i="10"/>
  <c r="C547" i="10"/>
  <c r="C699" i="10"/>
  <c r="C527" i="10"/>
  <c r="G527" i="10" s="1"/>
  <c r="C706" i="10"/>
  <c r="C534" i="10"/>
  <c r="G534" i="10" s="1"/>
  <c r="G496" i="10"/>
  <c r="H496" i="10" s="1"/>
  <c r="C680" i="10"/>
  <c r="C508" i="10"/>
  <c r="G511" i="10"/>
  <c r="H511" i="10" s="1"/>
  <c r="C614" i="10"/>
  <c r="C550" i="10"/>
  <c r="C646" i="10"/>
  <c r="C571" i="10"/>
  <c r="C677" i="10"/>
  <c r="C505" i="10"/>
  <c r="G505" i="10" s="1"/>
  <c r="C691" i="10"/>
  <c r="C519" i="10"/>
  <c r="G519" i="10" s="1"/>
  <c r="C713" i="10"/>
  <c r="C541" i="10"/>
  <c r="C565" i="10"/>
  <c r="C640" i="10"/>
  <c r="G524" i="10" l="1"/>
  <c r="H524" i="10"/>
  <c r="H521" i="10"/>
  <c r="G521" i="10"/>
  <c r="G550" i="10"/>
  <c r="H550" i="10"/>
  <c r="G516" i="10"/>
  <c r="H516" i="10" s="1"/>
  <c r="G518" i="10"/>
  <c r="H518" i="10"/>
  <c r="C715" i="10"/>
  <c r="C648" i="10"/>
  <c r="M716" i="10" s="1"/>
  <c r="Y816" i="10" s="1"/>
  <c r="D615" i="10"/>
  <c r="H520" i="10"/>
  <c r="G520" i="10"/>
  <c r="G522" i="10"/>
  <c r="H522" i="10"/>
  <c r="G544" i="10"/>
  <c r="H544" i="10"/>
  <c r="G508" i="10"/>
  <c r="H508" i="10" s="1"/>
  <c r="G509" i="10"/>
  <c r="H509" i="10" s="1"/>
  <c r="D709" i="10" l="1"/>
  <c r="D708" i="10"/>
  <c r="D713" i="10"/>
  <c r="D705" i="10"/>
  <c r="D700" i="10"/>
  <c r="D692" i="10"/>
  <c r="D684" i="10"/>
  <c r="D676" i="10"/>
  <c r="D668" i="10"/>
  <c r="D697" i="10"/>
  <c r="D689" i="10"/>
  <c r="D704" i="10"/>
  <c r="D703" i="10"/>
  <c r="D702" i="10"/>
  <c r="D699" i="10"/>
  <c r="D691" i="10"/>
  <c r="D683" i="10"/>
  <c r="D675" i="10"/>
  <c r="D644" i="10"/>
  <c r="D643" i="10"/>
  <c r="D642" i="10"/>
  <c r="D641" i="10"/>
  <c r="D640" i="10"/>
  <c r="D639" i="10"/>
  <c r="D638" i="10"/>
  <c r="D637" i="10"/>
  <c r="D636" i="10"/>
  <c r="D716" i="10"/>
  <c r="D712" i="10"/>
  <c r="D690" i="10"/>
  <c r="D682" i="10"/>
  <c r="D681" i="10"/>
  <c r="D680" i="10"/>
  <c r="D628" i="10"/>
  <c r="D622" i="10"/>
  <c r="D618" i="10"/>
  <c r="D706" i="10"/>
  <c r="D698" i="10"/>
  <c r="D679" i="10"/>
  <c r="D678" i="10"/>
  <c r="D677" i="10"/>
  <c r="D646" i="10"/>
  <c r="D685" i="10"/>
  <c r="D674" i="10"/>
  <c r="D673" i="10"/>
  <c r="D672" i="10"/>
  <c r="D629" i="10"/>
  <c r="D626" i="10"/>
  <c r="D621" i="10"/>
  <c r="D617" i="10"/>
  <c r="D693" i="10"/>
  <c r="D686" i="10"/>
  <c r="D671" i="10"/>
  <c r="D670" i="10"/>
  <c r="D669" i="10"/>
  <c r="D647" i="10"/>
  <c r="D634" i="10"/>
  <c r="D633" i="10"/>
  <c r="D632" i="10"/>
  <c r="D631" i="10"/>
  <c r="D630" i="10"/>
  <c r="D624" i="10"/>
  <c r="D711" i="10"/>
  <c r="D707" i="10"/>
  <c r="D701" i="10"/>
  <c r="D694" i="10"/>
  <c r="D635" i="10"/>
  <c r="D620" i="10"/>
  <c r="D616" i="10"/>
  <c r="D619" i="10"/>
  <c r="D687" i="10"/>
  <c r="D696" i="10"/>
  <c r="D645" i="10"/>
  <c r="D625" i="10"/>
  <c r="D710" i="10"/>
  <c r="D623" i="10"/>
  <c r="D695" i="10"/>
  <c r="D627" i="10"/>
  <c r="D688" i="10"/>
  <c r="E612" i="10" l="1"/>
  <c r="D715" i="10"/>
  <c r="E623" i="10"/>
  <c r="E706" i="10" l="1"/>
  <c r="E713" i="10"/>
  <c r="E710" i="10"/>
  <c r="E702" i="10"/>
  <c r="E716" i="10"/>
  <c r="E697" i="10"/>
  <c r="E689" i="10"/>
  <c r="E681" i="10"/>
  <c r="E673" i="10"/>
  <c r="E712" i="10"/>
  <c r="E707" i="10"/>
  <c r="E694" i="10"/>
  <c r="E686" i="10"/>
  <c r="E709" i="10"/>
  <c r="E696" i="10"/>
  <c r="E688" i="10"/>
  <c r="E680" i="10"/>
  <c r="E672" i="10"/>
  <c r="E703" i="10"/>
  <c r="E698" i="10"/>
  <c r="E691" i="10"/>
  <c r="E679" i="10"/>
  <c r="E678" i="10"/>
  <c r="E677" i="10"/>
  <c r="E646" i="10"/>
  <c r="E699" i="10"/>
  <c r="E685" i="10"/>
  <c r="E684" i="10"/>
  <c r="E676" i="10"/>
  <c r="E675" i="10"/>
  <c r="E674" i="10"/>
  <c r="E642" i="10"/>
  <c r="E638" i="10"/>
  <c r="E629" i="10"/>
  <c r="E626" i="10"/>
  <c r="E693" i="10"/>
  <c r="E692" i="10"/>
  <c r="E671" i="10"/>
  <c r="E670" i="10"/>
  <c r="E669" i="10"/>
  <c r="E647" i="10"/>
  <c r="E634" i="10"/>
  <c r="E633" i="10"/>
  <c r="E632" i="10"/>
  <c r="E631" i="10"/>
  <c r="E630" i="10"/>
  <c r="E624" i="10"/>
  <c r="E711" i="10"/>
  <c r="E704" i="10"/>
  <c r="E701" i="10"/>
  <c r="E700" i="10"/>
  <c r="E668" i="10"/>
  <c r="E643" i="10"/>
  <c r="E639" i="10"/>
  <c r="E635" i="10"/>
  <c r="E687" i="10"/>
  <c r="E627" i="10"/>
  <c r="E682" i="10"/>
  <c r="E708" i="10"/>
  <c r="E645" i="10"/>
  <c r="E625" i="10"/>
  <c r="E690" i="10"/>
  <c r="E644" i="10"/>
  <c r="E641" i="10"/>
  <c r="E695" i="10"/>
  <c r="E683" i="10"/>
  <c r="E640" i="10"/>
  <c r="E637" i="10"/>
  <c r="E628" i="10"/>
  <c r="E705" i="10"/>
  <c r="E636" i="10"/>
  <c r="E715" i="10" l="1"/>
  <c r="F624" i="10"/>
  <c r="F711" i="10" l="1"/>
  <c r="F703" i="10"/>
  <c r="F710" i="10"/>
  <c r="F716" i="10"/>
  <c r="F707" i="10"/>
  <c r="F712" i="10"/>
  <c r="F694" i="10"/>
  <c r="F686" i="10"/>
  <c r="F678" i="10"/>
  <c r="F670" i="10"/>
  <c r="F647" i="10"/>
  <c r="F646" i="10"/>
  <c r="F645" i="10"/>
  <c r="F708" i="10"/>
  <c r="F706" i="10"/>
  <c r="F705" i="10"/>
  <c r="F704" i="10"/>
  <c r="F699" i="10"/>
  <c r="F691" i="10"/>
  <c r="F683" i="10"/>
  <c r="F701" i="10"/>
  <c r="F693" i="10"/>
  <c r="F685" i="10"/>
  <c r="F677" i="10"/>
  <c r="F669" i="10"/>
  <c r="F684" i="10"/>
  <c r="F676" i="10"/>
  <c r="F675" i="10"/>
  <c r="F674" i="10"/>
  <c r="F642" i="10"/>
  <c r="F638" i="10"/>
  <c r="F629" i="10"/>
  <c r="F626" i="10"/>
  <c r="F692" i="10"/>
  <c r="F673" i="10"/>
  <c r="F672" i="10"/>
  <c r="F671" i="10"/>
  <c r="F634" i="10"/>
  <c r="F633" i="10"/>
  <c r="F632" i="10"/>
  <c r="F631" i="10"/>
  <c r="F630" i="10"/>
  <c r="F709" i="10"/>
  <c r="F700" i="10"/>
  <c r="F668" i="10"/>
  <c r="F643" i="10"/>
  <c r="F639" i="10"/>
  <c r="F635" i="10"/>
  <c r="F687" i="10"/>
  <c r="F627" i="10"/>
  <c r="F695" i="10"/>
  <c r="F688" i="10"/>
  <c r="F644" i="10"/>
  <c r="F640" i="10"/>
  <c r="F636" i="10"/>
  <c r="F713" i="10"/>
  <c r="F697" i="10"/>
  <c r="F679" i="10"/>
  <c r="F625" i="10"/>
  <c r="F696" i="10"/>
  <c r="F690" i="10"/>
  <c r="F702" i="10"/>
  <c r="F681" i="10"/>
  <c r="F641" i="10"/>
  <c r="F637" i="10"/>
  <c r="F628" i="10"/>
  <c r="F689" i="10"/>
  <c r="F698" i="10"/>
  <c r="F680" i="10"/>
  <c r="F682" i="10"/>
  <c r="F715" i="10" l="1"/>
  <c r="G625" i="10"/>
  <c r="G708" i="10" l="1"/>
  <c r="G713" i="10"/>
  <c r="G716" i="10"/>
  <c r="G712" i="10"/>
  <c r="G704" i="10"/>
  <c r="G707" i="10"/>
  <c r="G706" i="10"/>
  <c r="G705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709" i="10"/>
  <c r="G703" i="10"/>
  <c r="G702" i="10"/>
  <c r="G696" i="10"/>
  <c r="G688" i="10"/>
  <c r="G710" i="10"/>
  <c r="G698" i="10"/>
  <c r="G690" i="10"/>
  <c r="G682" i="10"/>
  <c r="G674" i="10"/>
  <c r="G692" i="10"/>
  <c r="G685" i="10"/>
  <c r="G673" i="10"/>
  <c r="G672" i="10"/>
  <c r="G671" i="10"/>
  <c r="G633" i="10"/>
  <c r="G632" i="10"/>
  <c r="G631" i="10"/>
  <c r="G630" i="10"/>
  <c r="G700" i="10"/>
  <c r="G693" i="10"/>
  <c r="G670" i="10"/>
  <c r="G669" i="10"/>
  <c r="G668" i="10"/>
  <c r="G647" i="10"/>
  <c r="G711" i="10"/>
  <c r="G701" i="10"/>
  <c r="G687" i="10"/>
  <c r="G686" i="10"/>
  <c r="G627" i="10"/>
  <c r="G695" i="10"/>
  <c r="G694" i="10"/>
  <c r="G697" i="10"/>
  <c r="G679" i="10"/>
  <c r="G646" i="10"/>
  <c r="G626" i="10"/>
  <c r="G645" i="10"/>
  <c r="G684" i="10"/>
  <c r="G681" i="10"/>
  <c r="G676" i="10"/>
  <c r="G629" i="10"/>
  <c r="G628" i="10"/>
  <c r="G689" i="10"/>
  <c r="G678" i="10"/>
  <c r="G680" i="10"/>
  <c r="G677" i="10"/>
  <c r="G715" i="10" l="1"/>
  <c r="H628" i="10"/>
  <c r="H713" i="10" l="1"/>
  <c r="H705" i="10"/>
  <c r="H712" i="10"/>
  <c r="H709" i="10"/>
  <c r="H701" i="10"/>
  <c r="H708" i="10"/>
  <c r="H704" i="10"/>
  <c r="H703" i="10"/>
  <c r="H702" i="10"/>
  <c r="H696" i="10"/>
  <c r="H688" i="10"/>
  <c r="H680" i="10"/>
  <c r="H672" i="10"/>
  <c r="H693" i="10"/>
  <c r="H685" i="10"/>
  <c r="H695" i="10"/>
  <c r="H687" i="10"/>
  <c r="H679" i="10"/>
  <c r="H671" i="10"/>
  <c r="H706" i="10"/>
  <c r="H700" i="10"/>
  <c r="H699" i="10"/>
  <c r="H670" i="10"/>
  <c r="H669" i="10"/>
  <c r="H668" i="10"/>
  <c r="H647" i="10"/>
  <c r="H634" i="10"/>
  <c r="H711" i="10"/>
  <c r="H686" i="10"/>
  <c r="H643" i="10"/>
  <c r="H639" i="10"/>
  <c r="H635" i="10"/>
  <c r="H694" i="10"/>
  <c r="H707" i="10"/>
  <c r="H644" i="10"/>
  <c r="H640" i="10"/>
  <c r="H636" i="10"/>
  <c r="H689" i="10"/>
  <c r="H645" i="10"/>
  <c r="H716" i="10"/>
  <c r="H691" i="10"/>
  <c r="H674" i="10"/>
  <c r="H690" i="10"/>
  <c r="H684" i="10"/>
  <c r="H681" i="10"/>
  <c r="H676" i="10"/>
  <c r="H642" i="10"/>
  <c r="H632" i="10"/>
  <c r="H629" i="10"/>
  <c r="H641" i="10"/>
  <c r="H638" i="10"/>
  <c r="H678" i="10"/>
  <c r="H673" i="10"/>
  <c r="H637" i="10"/>
  <c r="H710" i="10"/>
  <c r="H683" i="10"/>
  <c r="H631" i="10"/>
  <c r="H698" i="10"/>
  <c r="H692" i="10"/>
  <c r="H675" i="10"/>
  <c r="H682" i="10"/>
  <c r="H677" i="10"/>
  <c r="H633" i="10"/>
  <c r="H697" i="10"/>
  <c r="H630" i="10"/>
  <c r="H646" i="10"/>
  <c r="H715" i="10" l="1"/>
  <c r="I629" i="10"/>
  <c r="I710" i="10" l="1"/>
  <c r="I702" i="10"/>
  <c r="I716" i="10"/>
  <c r="I709" i="10"/>
  <c r="I706" i="10"/>
  <c r="I711" i="10"/>
  <c r="I712" i="10"/>
  <c r="I693" i="10"/>
  <c r="I685" i="10"/>
  <c r="I677" i="10"/>
  <c r="I669" i="10"/>
  <c r="I701" i="10"/>
  <c r="I698" i="10"/>
  <c r="I690" i="10"/>
  <c r="I700" i="10"/>
  <c r="I692" i="10"/>
  <c r="I684" i="10"/>
  <c r="I676" i="10"/>
  <c r="I668" i="10"/>
  <c r="I686" i="10"/>
  <c r="I643" i="10"/>
  <c r="I639" i="10"/>
  <c r="I635" i="10"/>
  <c r="I694" i="10"/>
  <c r="I687" i="10"/>
  <c r="I707" i="10"/>
  <c r="I704" i="10"/>
  <c r="I695" i="10"/>
  <c r="I644" i="10"/>
  <c r="I640" i="10"/>
  <c r="I636" i="10"/>
  <c r="I689" i="10"/>
  <c r="I688" i="10"/>
  <c r="I645" i="10"/>
  <c r="I713" i="10"/>
  <c r="I697" i="10"/>
  <c r="I696" i="10"/>
  <c r="I682" i="10"/>
  <c r="I681" i="10"/>
  <c r="I641" i="10"/>
  <c r="I637" i="10"/>
  <c r="I708" i="10"/>
  <c r="I642" i="10"/>
  <c r="I632" i="10"/>
  <c r="I671" i="10"/>
  <c r="I638" i="10"/>
  <c r="I703" i="10"/>
  <c r="I678" i="10"/>
  <c r="I673" i="10"/>
  <c r="I699" i="10"/>
  <c r="I683" i="10"/>
  <c r="I634" i="10"/>
  <c r="I631" i="10"/>
  <c r="I680" i="10"/>
  <c r="I675" i="10"/>
  <c r="I670" i="10"/>
  <c r="I705" i="10"/>
  <c r="I647" i="10"/>
  <c r="I633" i="10"/>
  <c r="I672" i="10"/>
  <c r="I646" i="10"/>
  <c r="I630" i="10"/>
  <c r="I674" i="10"/>
  <c r="I691" i="10"/>
  <c r="I679" i="10"/>
  <c r="I715" i="10" l="1"/>
  <c r="J630" i="10"/>
  <c r="J716" i="10" l="1"/>
  <c r="J707" i="10"/>
  <c r="J712" i="10"/>
  <c r="J711" i="10"/>
  <c r="J703" i="10"/>
  <c r="J709" i="10"/>
  <c r="J701" i="10"/>
  <c r="J698" i="10"/>
  <c r="J690" i="10"/>
  <c r="J682" i="10"/>
  <c r="J674" i="10"/>
  <c r="J710" i="10"/>
  <c r="J695" i="10"/>
  <c r="J687" i="10"/>
  <c r="J713" i="10"/>
  <c r="J697" i="10"/>
  <c r="J689" i="10"/>
  <c r="J681" i="10"/>
  <c r="J673" i="10"/>
  <c r="J694" i="10"/>
  <c r="J693" i="10"/>
  <c r="J704" i="10"/>
  <c r="J644" i="10"/>
  <c r="J640" i="10"/>
  <c r="J636" i="10"/>
  <c r="J688" i="10"/>
  <c r="J645" i="10"/>
  <c r="J696" i="10"/>
  <c r="J641" i="10"/>
  <c r="J637" i="10"/>
  <c r="J705" i="10"/>
  <c r="J702" i="10"/>
  <c r="J683" i="10"/>
  <c r="J680" i="10"/>
  <c r="J679" i="10"/>
  <c r="J678" i="10"/>
  <c r="J646" i="10"/>
  <c r="J700" i="10"/>
  <c r="J684" i="10"/>
  <c r="J676" i="10"/>
  <c r="J671" i="10"/>
  <c r="J638" i="10"/>
  <c r="J635" i="10"/>
  <c r="J699" i="10"/>
  <c r="J668" i="10"/>
  <c r="J634" i="10"/>
  <c r="J631" i="10"/>
  <c r="J675" i="10"/>
  <c r="J670" i="10"/>
  <c r="J706" i="10"/>
  <c r="J692" i="10"/>
  <c r="J686" i="10"/>
  <c r="J647" i="10"/>
  <c r="L647" i="10" s="1"/>
  <c r="J633" i="10"/>
  <c r="J677" i="10"/>
  <c r="J672" i="10"/>
  <c r="J691" i="10"/>
  <c r="J643" i="10"/>
  <c r="J632" i="10"/>
  <c r="J669" i="10"/>
  <c r="J685" i="10"/>
  <c r="J642" i="10"/>
  <c r="J708" i="10"/>
  <c r="J639" i="10"/>
  <c r="J715" i="10" l="1"/>
  <c r="K644" i="10"/>
  <c r="L709" i="10"/>
  <c r="L708" i="10"/>
  <c r="L713" i="10"/>
  <c r="L705" i="10"/>
  <c r="L710" i="10"/>
  <c r="L700" i="10"/>
  <c r="L692" i="10"/>
  <c r="L684" i="10"/>
  <c r="L676" i="10"/>
  <c r="L668" i="10"/>
  <c r="L697" i="10"/>
  <c r="L689" i="10"/>
  <c r="L711" i="10"/>
  <c r="L699" i="10"/>
  <c r="L691" i="10"/>
  <c r="L683" i="10"/>
  <c r="L675" i="10"/>
  <c r="L707" i="10"/>
  <c r="L704" i="10"/>
  <c r="L701" i="10"/>
  <c r="L688" i="10"/>
  <c r="L687" i="10"/>
  <c r="L696" i="10"/>
  <c r="L695" i="10"/>
  <c r="L702" i="10"/>
  <c r="L682" i="10"/>
  <c r="L681" i="10"/>
  <c r="L680" i="10"/>
  <c r="L690" i="10"/>
  <c r="L679" i="10"/>
  <c r="L678" i="10"/>
  <c r="L677" i="10"/>
  <c r="L698" i="10"/>
  <c r="L674" i="10"/>
  <c r="L673" i="10"/>
  <c r="L672" i="10"/>
  <c r="L703" i="10"/>
  <c r="L693" i="10"/>
  <c r="L706" i="10"/>
  <c r="L670" i="10"/>
  <c r="L712" i="10"/>
  <c r="L686" i="10"/>
  <c r="L685" i="10"/>
  <c r="L669" i="10"/>
  <c r="L694" i="10"/>
  <c r="L671" i="10"/>
  <c r="L716" i="10"/>
  <c r="L715" i="10" l="1"/>
  <c r="M712" i="10"/>
  <c r="Y778" i="10" s="1"/>
  <c r="M702" i="10"/>
  <c r="Y768" i="10" s="1"/>
  <c r="M687" i="10"/>
  <c r="Y753" i="10" s="1"/>
  <c r="M670" i="10"/>
  <c r="Y736" i="10" s="1"/>
  <c r="K712" i="10"/>
  <c r="K704" i="10"/>
  <c r="M704" i="10" s="1"/>
  <c r="Y770" i="10" s="1"/>
  <c r="K711" i="10"/>
  <c r="M711" i="10" s="1"/>
  <c r="Y777" i="10" s="1"/>
  <c r="K708" i="10"/>
  <c r="M708" i="10" s="1"/>
  <c r="Y774" i="10" s="1"/>
  <c r="K713" i="10"/>
  <c r="M713" i="10" s="1"/>
  <c r="Y779" i="10" s="1"/>
  <c r="K710" i="10"/>
  <c r="M710" i="10" s="1"/>
  <c r="Y776" i="10" s="1"/>
  <c r="K695" i="10"/>
  <c r="M695" i="10" s="1"/>
  <c r="Y761" i="10" s="1"/>
  <c r="K687" i="10"/>
  <c r="K679" i="10"/>
  <c r="M679" i="10" s="1"/>
  <c r="Y745" i="10" s="1"/>
  <c r="K671" i="10"/>
  <c r="M671" i="10" s="1"/>
  <c r="Y737" i="10" s="1"/>
  <c r="K700" i="10"/>
  <c r="M700" i="10" s="1"/>
  <c r="Y766" i="10" s="1"/>
  <c r="K692" i="10"/>
  <c r="K684" i="10"/>
  <c r="M684" i="10" s="1"/>
  <c r="Y750" i="10" s="1"/>
  <c r="K716" i="10"/>
  <c r="K694" i="10"/>
  <c r="M694" i="10" s="1"/>
  <c r="Y760" i="10" s="1"/>
  <c r="K686" i="10"/>
  <c r="M686" i="10" s="1"/>
  <c r="Y752" i="10" s="1"/>
  <c r="K678" i="10"/>
  <c r="M678" i="10" s="1"/>
  <c r="Y744" i="10" s="1"/>
  <c r="K670" i="10"/>
  <c r="K709" i="10"/>
  <c r="M709" i="10" s="1"/>
  <c r="Y775" i="10" s="1"/>
  <c r="K707" i="10"/>
  <c r="M707" i="10" s="1"/>
  <c r="Y773" i="10" s="1"/>
  <c r="K701" i="10"/>
  <c r="M701" i="10" s="1"/>
  <c r="Y767" i="10" s="1"/>
  <c r="K688" i="10"/>
  <c r="M688" i="10" s="1"/>
  <c r="Y754" i="10" s="1"/>
  <c r="K696" i="10"/>
  <c r="M696" i="10" s="1"/>
  <c r="Y762" i="10" s="1"/>
  <c r="K689" i="10"/>
  <c r="M689" i="10" s="1"/>
  <c r="Y755" i="10" s="1"/>
  <c r="K705" i="10"/>
  <c r="M705" i="10" s="1"/>
  <c r="Y771" i="10" s="1"/>
  <c r="K702" i="10"/>
  <c r="K697" i="10"/>
  <c r="M697" i="10" s="1"/>
  <c r="Y763" i="10" s="1"/>
  <c r="K683" i="10"/>
  <c r="M683" i="10" s="1"/>
  <c r="Y749" i="10" s="1"/>
  <c r="K682" i="10"/>
  <c r="M682" i="10" s="1"/>
  <c r="Y748" i="10" s="1"/>
  <c r="K681" i="10"/>
  <c r="M681" i="10" s="1"/>
  <c r="Y747" i="10" s="1"/>
  <c r="K680" i="10"/>
  <c r="M680" i="10" s="1"/>
  <c r="Y746" i="10" s="1"/>
  <c r="K691" i="10"/>
  <c r="M691" i="10" s="1"/>
  <c r="Y757" i="10" s="1"/>
  <c r="K690" i="10"/>
  <c r="M690" i="10" s="1"/>
  <c r="Y756" i="10" s="1"/>
  <c r="K677" i="10"/>
  <c r="M677" i="10" s="1"/>
  <c r="Y743" i="10" s="1"/>
  <c r="K676" i="10"/>
  <c r="M676" i="10" s="1"/>
  <c r="Y742" i="10" s="1"/>
  <c r="K675" i="10"/>
  <c r="M675" i="10" s="1"/>
  <c r="Y741" i="10" s="1"/>
  <c r="K703" i="10"/>
  <c r="M703" i="10" s="1"/>
  <c r="Y769" i="10" s="1"/>
  <c r="K699" i="10"/>
  <c r="M699" i="10" s="1"/>
  <c r="Y765" i="10" s="1"/>
  <c r="K673" i="10"/>
  <c r="M673" i="10" s="1"/>
  <c r="Y739" i="10" s="1"/>
  <c r="K668" i="10"/>
  <c r="M668" i="10" s="1"/>
  <c r="K693" i="10"/>
  <c r="M693" i="10" s="1"/>
  <c r="Y759" i="10" s="1"/>
  <c r="K706" i="10"/>
  <c r="M706" i="10" s="1"/>
  <c r="Y772" i="10" s="1"/>
  <c r="K698" i="10"/>
  <c r="M698" i="10" s="1"/>
  <c r="Y764" i="10" s="1"/>
  <c r="K672" i="10"/>
  <c r="M672" i="10" s="1"/>
  <c r="Y738" i="10" s="1"/>
  <c r="K685" i="10"/>
  <c r="M685" i="10" s="1"/>
  <c r="Y751" i="10" s="1"/>
  <c r="K674" i="10"/>
  <c r="M674" i="10" s="1"/>
  <c r="Y740" i="10" s="1"/>
  <c r="K669" i="10"/>
  <c r="M669" i="10" s="1"/>
  <c r="Y735" i="10" s="1"/>
  <c r="M692" i="10"/>
  <c r="Y758" i="10" s="1"/>
  <c r="M715" i="10" l="1"/>
  <c r="Y734" i="10"/>
  <c r="Y815" i="10" s="1"/>
  <c r="K715" i="10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P48" i="1" s="1"/>
  <c r="P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5" i="1"/>
  <c r="G58" i="9" s="1"/>
  <c r="M75" i="1"/>
  <c r="F58" i="9" s="1"/>
  <c r="L75" i="1"/>
  <c r="E58" i="9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B476" i="1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C470" i="1" s="1"/>
  <c r="E198" i="1"/>
  <c r="E199" i="1"/>
  <c r="E200" i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181" i="1"/>
  <c r="C27" i="5" s="1"/>
  <c r="D177" i="1"/>
  <c r="C20" i="5" s="1"/>
  <c r="E154" i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436" i="1"/>
  <c r="C34" i="5"/>
  <c r="C473" i="1"/>
  <c r="F12" i="6"/>
  <c r="C469" i="1"/>
  <c r="G122" i="9"/>
  <c r="H58" i="9"/>
  <c r="F90" i="9"/>
  <c r="C218" i="9"/>
  <c r="D366" i="9"/>
  <c r="CE64" i="1"/>
  <c r="F612" i="1" s="1"/>
  <c r="D368" i="9"/>
  <c r="C276" i="9"/>
  <c r="CE70" i="1"/>
  <c r="C458" i="1" s="1"/>
  <c r="CE76" i="1"/>
  <c r="CF76" i="1" s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CD71" i="1"/>
  <c r="E373" i="9" s="1"/>
  <c r="C615" i="1"/>
  <c r="E372" i="9"/>
  <c r="F499" i="1"/>
  <c r="H505" i="1"/>
  <c r="H515" i="1"/>
  <c r="H501" i="1"/>
  <c r="F501" i="1"/>
  <c r="F497" i="1"/>
  <c r="H497" i="1"/>
  <c r="H499" i="1"/>
  <c r="D330" i="1" l="1"/>
  <c r="C86" i="8" s="1"/>
  <c r="G28" i="4"/>
  <c r="I362" i="9"/>
  <c r="E19" i="4"/>
  <c r="B440" i="1"/>
  <c r="D463" i="1"/>
  <c r="C84" i="8"/>
  <c r="D186" i="9"/>
  <c r="I612" i="1"/>
  <c r="CF77" i="1"/>
  <c r="I381" i="9"/>
  <c r="C429" i="1"/>
  <c r="C575" i="1"/>
  <c r="C141" i="8"/>
  <c r="C448" i="1"/>
  <c r="D368" i="1"/>
  <c r="C120" i="8" s="1"/>
  <c r="C112" i="8"/>
  <c r="B465" i="1"/>
  <c r="D277" i="1"/>
  <c r="C35" i="8" s="1"/>
  <c r="C33" i="8"/>
  <c r="D32" i="6"/>
  <c r="F9" i="6"/>
  <c r="D5" i="7"/>
  <c r="D428" i="1"/>
  <c r="G10" i="4"/>
  <c r="E10" i="4"/>
  <c r="B10" i="4"/>
  <c r="D612" i="1"/>
  <c r="I380" i="9"/>
  <c r="BZ52" i="1"/>
  <c r="BZ67" i="1" s="1"/>
  <c r="H337" i="9" s="1"/>
  <c r="Z52" i="1"/>
  <c r="Z67" i="1" s="1"/>
  <c r="W52" i="1"/>
  <c r="W67" i="1" s="1"/>
  <c r="BI52" i="1"/>
  <c r="BI67" i="1" s="1"/>
  <c r="L52" i="1"/>
  <c r="L67" i="1" s="1"/>
  <c r="BA52" i="1"/>
  <c r="BA67" i="1" s="1"/>
  <c r="AQ52" i="1"/>
  <c r="AQ67" i="1" s="1"/>
  <c r="H177" i="9" s="1"/>
  <c r="S52" i="1"/>
  <c r="S67" i="1" s="1"/>
  <c r="R52" i="1"/>
  <c r="R67" i="1" s="1"/>
  <c r="BK52" i="1"/>
  <c r="BK67" i="1" s="1"/>
  <c r="G273" i="9" s="1"/>
  <c r="BB52" i="1"/>
  <c r="BB67" i="1" s="1"/>
  <c r="E241" i="9" s="1"/>
  <c r="BO52" i="1"/>
  <c r="BO67" i="1" s="1"/>
  <c r="AS52" i="1"/>
  <c r="AS67" i="1" s="1"/>
  <c r="BU52" i="1"/>
  <c r="BU67" i="1" s="1"/>
  <c r="C337" i="9" s="1"/>
  <c r="AP52" i="1"/>
  <c r="AP67" i="1" s="1"/>
  <c r="AI52" i="1"/>
  <c r="AI67" i="1" s="1"/>
  <c r="P52" i="1"/>
  <c r="P67" i="1" s="1"/>
  <c r="I49" i="9" s="1"/>
  <c r="AH52" i="1"/>
  <c r="AH67" i="1" s="1"/>
  <c r="F145" i="9" s="1"/>
  <c r="C52" i="1"/>
  <c r="C67" i="1" s="1"/>
  <c r="AN52" i="1"/>
  <c r="AN67" i="1" s="1"/>
  <c r="K52" i="1"/>
  <c r="K67" i="1" s="1"/>
  <c r="V52" i="1"/>
  <c r="V67" i="1" s="1"/>
  <c r="BT52" i="1"/>
  <c r="BT67" i="1" s="1"/>
  <c r="AG52" i="1"/>
  <c r="AG67" i="1" s="1"/>
  <c r="E145" i="9" s="1"/>
  <c r="Q52" i="1"/>
  <c r="Q67" i="1" s="1"/>
  <c r="E52" i="1"/>
  <c r="E67" i="1" s="1"/>
  <c r="BG52" i="1"/>
  <c r="BG67" i="1" s="1"/>
  <c r="AJ52" i="1"/>
  <c r="AJ67" i="1" s="1"/>
  <c r="BP52" i="1"/>
  <c r="BP67" i="1" s="1"/>
  <c r="AV52" i="1"/>
  <c r="AV67" i="1" s="1"/>
  <c r="J52" i="1"/>
  <c r="J67" i="1" s="1"/>
  <c r="BH52" i="1"/>
  <c r="BH67" i="1" s="1"/>
  <c r="AZ52" i="1"/>
  <c r="AZ67" i="1" s="1"/>
  <c r="I52" i="1"/>
  <c r="I67" i="1" s="1"/>
  <c r="N52" i="1"/>
  <c r="N67" i="1" s="1"/>
  <c r="BJ52" i="1"/>
  <c r="BJ67" i="1" s="1"/>
  <c r="AT52" i="1"/>
  <c r="AT67" i="1" s="1"/>
  <c r="D209" i="9" s="1"/>
  <c r="AO52" i="1"/>
  <c r="AO67" i="1" s="1"/>
  <c r="F177" i="9" s="1"/>
  <c r="BS52" i="1"/>
  <c r="BS67" i="1" s="1"/>
  <c r="BL52" i="1"/>
  <c r="BL67" i="1" s="1"/>
  <c r="Y52" i="1"/>
  <c r="Y67" i="1" s="1"/>
  <c r="D113" i="9" s="1"/>
  <c r="AE52" i="1"/>
  <c r="AE67" i="1" s="1"/>
  <c r="C145" i="9" s="1"/>
  <c r="U52" i="1"/>
  <c r="U67" i="1" s="1"/>
  <c r="G81" i="9" s="1"/>
  <c r="AU52" i="1"/>
  <c r="AU67" i="1" s="1"/>
  <c r="AL52" i="1"/>
  <c r="AL67" i="1" s="1"/>
  <c r="H52" i="1"/>
  <c r="H67" i="1" s="1"/>
  <c r="BC52" i="1"/>
  <c r="BC67" i="1" s="1"/>
  <c r="BW52" i="1"/>
  <c r="BW67" i="1" s="1"/>
  <c r="BX52" i="1"/>
  <c r="BX67" i="1" s="1"/>
  <c r="CA52" i="1"/>
  <c r="CA67" i="1" s="1"/>
  <c r="AF52" i="1"/>
  <c r="AF67" i="1" s="1"/>
  <c r="D145" i="9" s="1"/>
  <c r="AR52" i="1"/>
  <c r="AR67" i="1" s="1"/>
  <c r="I177" i="9" s="1"/>
  <c r="AD52" i="1"/>
  <c r="AD67" i="1" s="1"/>
  <c r="AC52" i="1"/>
  <c r="AC67" i="1" s="1"/>
  <c r="H113" i="9" s="1"/>
  <c r="CC52" i="1"/>
  <c r="CC67" i="1" s="1"/>
  <c r="X52" i="1"/>
  <c r="X67" i="1" s="1"/>
  <c r="O52" i="1"/>
  <c r="O67" i="1" s="1"/>
  <c r="AB52" i="1"/>
  <c r="AB67" i="1" s="1"/>
  <c r="G113" i="9" s="1"/>
  <c r="C434" i="1"/>
  <c r="C464" i="1"/>
  <c r="I90" i="9"/>
  <c r="C432" i="1"/>
  <c r="I363" i="9"/>
  <c r="I372" i="9"/>
  <c r="BF48" i="1"/>
  <c r="BF62" i="1" s="1"/>
  <c r="AT48" i="1"/>
  <c r="AT62" i="1" s="1"/>
  <c r="K48" i="1"/>
  <c r="K62" i="1" s="1"/>
  <c r="C430" i="1"/>
  <c r="BR48" i="1"/>
  <c r="BR62" i="1" s="1"/>
  <c r="CA48" i="1"/>
  <c r="CA62" i="1" s="1"/>
  <c r="I332" i="9" s="1"/>
  <c r="C427" i="1"/>
  <c r="AU48" i="1"/>
  <c r="AU62" i="1" s="1"/>
  <c r="H48" i="1"/>
  <c r="H62" i="1" s="1"/>
  <c r="BP48" i="1"/>
  <c r="BP62" i="1" s="1"/>
  <c r="BG48" i="1"/>
  <c r="BG62" i="1" s="1"/>
  <c r="C268" i="9" s="1"/>
  <c r="I48" i="1"/>
  <c r="I62" i="1" s="1"/>
  <c r="I12" i="9" s="1"/>
  <c r="BM48" i="1"/>
  <c r="BM62" i="1" s="1"/>
  <c r="O48" i="1"/>
  <c r="O62" i="1" s="1"/>
  <c r="AL48" i="1"/>
  <c r="AL62" i="1" s="1"/>
  <c r="C172" i="9" s="1"/>
  <c r="AK48" i="1"/>
  <c r="AK62" i="1" s="1"/>
  <c r="AC48" i="1"/>
  <c r="AC62" i="1" s="1"/>
  <c r="H108" i="9" s="1"/>
  <c r="C440" i="1"/>
  <c r="I366" i="9"/>
  <c r="BK48" i="1"/>
  <c r="BK62" i="1" s="1"/>
  <c r="AB48" i="1"/>
  <c r="AB62" i="1" s="1"/>
  <c r="D48" i="1"/>
  <c r="D62" i="1" s="1"/>
  <c r="BS48" i="1"/>
  <c r="BS62" i="1" s="1"/>
  <c r="U48" i="1"/>
  <c r="U62" i="1" s="1"/>
  <c r="BE48" i="1"/>
  <c r="BE62" i="1" s="1"/>
  <c r="CC48" i="1"/>
  <c r="CC62" i="1" s="1"/>
  <c r="C48" i="1"/>
  <c r="BX48" i="1"/>
  <c r="BX62" i="1" s="1"/>
  <c r="BN48" i="1"/>
  <c r="BN62" i="1" s="1"/>
  <c r="AR48" i="1"/>
  <c r="AR62" i="1" s="1"/>
  <c r="AH48" i="1"/>
  <c r="AH62" i="1" s="1"/>
  <c r="F140" i="9" s="1"/>
  <c r="AI48" i="1"/>
  <c r="AI62" i="1" s="1"/>
  <c r="BZ48" i="1"/>
  <c r="BZ62" i="1" s="1"/>
  <c r="M48" i="1"/>
  <c r="M62" i="1" s="1"/>
  <c r="AM48" i="1"/>
  <c r="AM62" i="1" s="1"/>
  <c r="Y48" i="1"/>
  <c r="Y62" i="1" s="1"/>
  <c r="AQ48" i="1"/>
  <c r="AQ62" i="1" s="1"/>
  <c r="CB48" i="1"/>
  <c r="CB62" i="1" s="1"/>
  <c r="C364" i="9" s="1"/>
  <c r="BL48" i="1"/>
  <c r="BL62" i="1" s="1"/>
  <c r="BB48" i="1"/>
  <c r="BB62" i="1" s="1"/>
  <c r="E236" i="9" s="1"/>
  <c r="AF48" i="1"/>
  <c r="AF62" i="1" s="1"/>
  <c r="N48" i="1"/>
  <c r="N62" i="1" s="1"/>
  <c r="BV48" i="1"/>
  <c r="BV62" i="1" s="1"/>
  <c r="AZ48" i="1"/>
  <c r="AZ62" i="1" s="1"/>
  <c r="AP48" i="1"/>
  <c r="AP62" i="1" s="1"/>
  <c r="G172" i="9" s="1"/>
  <c r="J48" i="1"/>
  <c r="J62" i="1" s="1"/>
  <c r="X48" i="1"/>
  <c r="X62" i="1" s="1"/>
  <c r="AE48" i="1"/>
  <c r="AE62" i="1" s="1"/>
  <c r="E48" i="1"/>
  <c r="E62" i="1" s="1"/>
  <c r="BW48" i="1"/>
  <c r="BW62" i="1" s="1"/>
  <c r="E332" i="9" s="1"/>
  <c r="BO48" i="1"/>
  <c r="BO62" i="1" s="1"/>
  <c r="Z48" i="1"/>
  <c r="Z62" i="1" s="1"/>
  <c r="T48" i="1"/>
  <c r="T62" i="1" s="1"/>
  <c r="G48" i="1"/>
  <c r="G62" i="1" s="1"/>
  <c r="G12" i="9" s="1"/>
  <c r="BI48" i="1"/>
  <c r="BI62" i="1" s="1"/>
  <c r="BQ48" i="1"/>
  <c r="BQ62" i="1" s="1"/>
  <c r="AW48" i="1"/>
  <c r="AW62" i="1" s="1"/>
  <c r="G204" i="9" s="1"/>
  <c r="Q48" i="1"/>
  <c r="Q62" i="1" s="1"/>
  <c r="BT48" i="1"/>
  <c r="BT62" i="1" s="1"/>
  <c r="BJ48" i="1"/>
  <c r="BJ62" i="1" s="1"/>
  <c r="F268" i="9" s="1"/>
  <c r="AN48" i="1"/>
  <c r="AN62" i="1" s="1"/>
  <c r="AD48" i="1"/>
  <c r="AD62" i="1" s="1"/>
  <c r="W48" i="1"/>
  <c r="W62" i="1" s="1"/>
  <c r="BA48" i="1"/>
  <c r="BA62" i="1" s="1"/>
  <c r="BU48" i="1"/>
  <c r="BU62" i="1" s="1"/>
  <c r="AO48" i="1"/>
  <c r="AO62" i="1" s="1"/>
  <c r="AA48" i="1"/>
  <c r="AA62" i="1" s="1"/>
  <c r="F108" i="9" s="1"/>
  <c r="BH48" i="1"/>
  <c r="BH62" i="1" s="1"/>
  <c r="AX48" i="1"/>
  <c r="AX62" i="1" s="1"/>
  <c r="F48" i="1"/>
  <c r="F62" i="1" s="1"/>
  <c r="F12" i="9" s="1"/>
  <c r="AG48" i="1"/>
  <c r="AG62" i="1" s="1"/>
  <c r="AS48" i="1"/>
  <c r="AS62" i="1" s="1"/>
  <c r="I44" i="9"/>
  <c r="R48" i="1"/>
  <c r="R62" i="1" s="1"/>
  <c r="AV48" i="1"/>
  <c r="AV62" i="1" s="1"/>
  <c r="BY48" i="1"/>
  <c r="BY62" i="1" s="1"/>
  <c r="S48" i="1"/>
  <c r="S62" i="1" s="1"/>
  <c r="BC48" i="1"/>
  <c r="BC62" i="1" s="1"/>
  <c r="V48" i="1"/>
  <c r="V62" i="1" s="1"/>
  <c r="BD48" i="1"/>
  <c r="BD62" i="1" s="1"/>
  <c r="AY48" i="1"/>
  <c r="AY62" i="1" s="1"/>
  <c r="AJ48" i="1"/>
  <c r="AJ62" i="1" s="1"/>
  <c r="L48" i="1"/>
  <c r="L62" i="1" s="1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434" i="1"/>
  <c r="C58" i="9"/>
  <c r="D373" i="1" l="1"/>
  <c r="D292" i="1"/>
  <c r="D341" i="1" s="1"/>
  <c r="C481" i="1" s="1"/>
  <c r="P71" i="1"/>
  <c r="C509" i="1" s="1"/>
  <c r="G509" i="1" s="1"/>
  <c r="O71" i="1"/>
  <c r="C508" i="1" s="1"/>
  <c r="G508" i="1" s="1"/>
  <c r="H305" i="9"/>
  <c r="Y71" i="1"/>
  <c r="D117" i="9" s="1"/>
  <c r="CE52" i="1"/>
  <c r="I305" i="9"/>
  <c r="C49" i="9"/>
  <c r="E305" i="9"/>
  <c r="E49" i="9"/>
  <c r="D49" i="9"/>
  <c r="G177" i="9"/>
  <c r="D369" i="9"/>
  <c r="AD71" i="1"/>
  <c r="C695" i="1" s="1"/>
  <c r="D305" i="9"/>
  <c r="BP71" i="1"/>
  <c r="C561" i="1" s="1"/>
  <c r="I113" i="9"/>
  <c r="E17" i="9"/>
  <c r="H81" i="9"/>
  <c r="D241" i="9"/>
  <c r="C81" i="9"/>
  <c r="F337" i="9"/>
  <c r="G49" i="9"/>
  <c r="W71" i="1"/>
  <c r="C516" i="1" s="1"/>
  <c r="G516" i="1" s="1"/>
  <c r="H49" i="9"/>
  <c r="H71" i="1"/>
  <c r="C673" i="1" s="1"/>
  <c r="I337" i="9"/>
  <c r="C17" i="9"/>
  <c r="I81" i="9"/>
  <c r="I17" i="9"/>
  <c r="N71" i="1"/>
  <c r="C679" i="1" s="1"/>
  <c r="C273" i="9"/>
  <c r="D81" i="9"/>
  <c r="F209" i="9"/>
  <c r="E71" i="1"/>
  <c r="E21" i="9" s="1"/>
  <c r="E113" i="9"/>
  <c r="C113" i="9"/>
  <c r="H273" i="9"/>
  <c r="H17" i="9"/>
  <c r="E337" i="9"/>
  <c r="BY71" i="1"/>
  <c r="G341" i="9" s="1"/>
  <c r="X71" i="1"/>
  <c r="C689" i="1" s="1"/>
  <c r="G145" i="9"/>
  <c r="C177" i="9"/>
  <c r="C209" i="9"/>
  <c r="AU71" i="1"/>
  <c r="E213" i="9" s="1"/>
  <c r="CE67" i="1"/>
  <c r="C433" i="1" s="1"/>
  <c r="E273" i="9"/>
  <c r="D273" i="9"/>
  <c r="E81" i="9"/>
  <c r="F241" i="9"/>
  <c r="E177" i="9"/>
  <c r="E209" i="9"/>
  <c r="H145" i="9"/>
  <c r="F273" i="9"/>
  <c r="C241" i="9"/>
  <c r="BV71" i="1"/>
  <c r="C567" i="1" s="1"/>
  <c r="D71" i="1"/>
  <c r="C669" i="1" s="1"/>
  <c r="AX71" i="1"/>
  <c r="C616" i="1" s="1"/>
  <c r="BF71" i="1"/>
  <c r="C629" i="1" s="1"/>
  <c r="M71" i="1"/>
  <c r="F53" i="9" s="1"/>
  <c r="AT71" i="1"/>
  <c r="C711" i="1" s="1"/>
  <c r="G140" i="9"/>
  <c r="BM71" i="1"/>
  <c r="C638" i="1" s="1"/>
  <c r="E12" i="9"/>
  <c r="H12" i="9"/>
  <c r="F44" i="9"/>
  <c r="G44" i="9"/>
  <c r="I236" i="9"/>
  <c r="AH71" i="1"/>
  <c r="C699" i="1" s="1"/>
  <c r="K71" i="1"/>
  <c r="D53" i="9" s="1"/>
  <c r="D108" i="9"/>
  <c r="D364" i="9"/>
  <c r="D204" i="9"/>
  <c r="I76" i="9"/>
  <c r="CC71" i="1"/>
  <c r="D373" i="9" s="1"/>
  <c r="AC71" i="1"/>
  <c r="C522" i="1" s="1"/>
  <c r="G522" i="1" s="1"/>
  <c r="G332" i="9"/>
  <c r="BR71" i="1"/>
  <c r="C626" i="1" s="1"/>
  <c r="G300" i="9"/>
  <c r="D44" i="9"/>
  <c r="H76" i="9"/>
  <c r="BG71" i="1"/>
  <c r="C277" i="9" s="1"/>
  <c r="H44" i="9"/>
  <c r="I268" i="9"/>
  <c r="AL71" i="1"/>
  <c r="C181" i="9" s="1"/>
  <c r="AP71" i="1"/>
  <c r="C535" i="1" s="1"/>
  <c r="G535" i="1" s="1"/>
  <c r="CA71" i="1"/>
  <c r="C572" i="1" s="1"/>
  <c r="I108" i="9"/>
  <c r="I140" i="9"/>
  <c r="AK71" i="1"/>
  <c r="E204" i="9"/>
  <c r="CB71" i="1"/>
  <c r="C373" i="9" s="1"/>
  <c r="E300" i="9"/>
  <c r="G71" i="1"/>
  <c r="C500" i="1" s="1"/>
  <c r="G500" i="1" s="1"/>
  <c r="D12" i="9"/>
  <c r="I71" i="1"/>
  <c r="I21" i="9" s="1"/>
  <c r="D332" i="9"/>
  <c r="BW71" i="1"/>
  <c r="C643" i="1" s="1"/>
  <c r="AY71" i="1"/>
  <c r="C544" i="1" s="1"/>
  <c r="G544" i="1" s="1"/>
  <c r="D76" i="9"/>
  <c r="R71" i="1"/>
  <c r="AG71" i="1"/>
  <c r="E140" i="9"/>
  <c r="D236" i="9"/>
  <c r="BA71" i="1"/>
  <c r="F300" i="9"/>
  <c r="BQ71" i="1"/>
  <c r="C140" i="9"/>
  <c r="AE71" i="1"/>
  <c r="G76" i="9"/>
  <c r="U71" i="1"/>
  <c r="AJ71" i="1"/>
  <c r="H140" i="9"/>
  <c r="BI71" i="1"/>
  <c r="E268" i="9"/>
  <c r="H268" i="9"/>
  <c r="BL71" i="1"/>
  <c r="H300" i="9"/>
  <c r="BS71" i="1"/>
  <c r="AI71" i="1"/>
  <c r="C700" i="1" s="1"/>
  <c r="BD71" i="1"/>
  <c r="G236" i="9"/>
  <c r="F71" i="1"/>
  <c r="J71" i="1"/>
  <c r="C44" i="9"/>
  <c r="I172" i="9"/>
  <c r="AR71" i="1"/>
  <c r="F76" i="9"/>
  <c r="T71" i="1"/>
  <c r="G108" i="9"/>
  <c r="AB71" i="1"/>
  <c r="AQ71" i="1"/>
  <c r="C536" i="1" s="1"/>
  <c r="G536" i="1" s="1"/>
  <c r="C300" i="9"/>
  <c r="BH71" i="1"/>
  <c r="D268" i="9"/>
  <c r="E108" i="9"/>
  <c r="Z71" i="1"/>
  <c r="C236" i="9"/>
  <c r="AZ71" i="1"/>
  <c r="F332" i="9"/>
  <c r="BX71" i="1"/>
  <c r="G268" i="9"/>
  <c r="BK71" i="1"/>
  <c r="H172" i="9"/>
  <c r="BN71" i="1"/>
  <c r="C619" i="1" s="1"/>
  <c r="D300" i="9"/>
  <c r="AM71" i="1"/>
  <c r="D172" i="9"/>
  <c r="I204" i="9"/>
  <c r="AA71" i="1"/>
  <c r="F117" i="9" s="1"/>
  <c r="BB71" i="1"/>
  <c r="C547" i="1" s="1"/>
  <c r="BJ71" i="1"/>
  <c r="C617" i="1" s="1"/>
  <c r="C204" i="9"/>
  <c r="AS71" i="1"/>
  <c r="AO71" i="1"/>
  <c r="F172" i="9"/>
  <c r="Q71" i="1"/>
  <c r="C76" i="9"/>
  <c r="E172" i="9"/>
  <c r="AN71" i="1"/>
  <c r="H204" i="9"/>
  <c r="V71" i="1"/>
  <c r="H85" i="9" s="1"/>
  <c r="F236" i="9"/>
  <c r="BC71" i="1"/>
  <c r="E76" i="9"/>
  <c r="S71" i="1"/>
  <c r="BT71" i="1"/>
  <c r="I300" i="9"/>
  <c r="C62" i="1"/>
  <c r="CE48" i="1"/>
  <c r="BO71" i="1"/>
  <c r="C627" i="1" s="1"/>
  <c r="C108" i="9"/>
  <c r="E44" i="9"/>
  <c r="L71" i="1"/>
  <c r="F204" i="9"/>
  <c r="AV71" i="1"/>
  <c r="C332" i="9"/>
  <c r="BU71" i="1"/>
  <c r="AW71" i="1"/>
  <c r="D140" i="9"/>
  <c r="AF71" i="1"/>
  <c r="H332" i="9"/>
  <c r="BZ71" i="1"/>
  <c r="H236" i="9"/>
  <c r="BE71" i="1"/>
  <c r="G17" i="9"/>
  <c r="I273" i="9"/>
  <c r="D27" i="7"/>
  <c r="B448" i="1"/>
  <c r="F544" i="1"/>
  <c r="H536" i="1"/>
  <c r="F536" i="1"/>
  <c r="F528" i="1"/>
  <c r="H528" i="1"/>
  <c r="F520" i="1"/>
  <c r="H209" i="9"/>
  <c r="D337" i="9"/>
  <c r="F81" i="9"/>
  <c r="I209" i="9"/>
  <c r="I241" i="9"/>
  <c r="I378" i="9"/>
  <c r="K612" i="1"/>
  <c r="C465" i="1"/>
  <c r="C126" i="8"/>
  <c r="D391" i="1"/>
  <c r="F32" i="6"/>
  <c r="C478" i="1"/>
  <c r="C305" i="9"/>
  <c r="C102" i="8"/>
  <c r="C482" i="1"/>
  <c r="F498" i="1"/>
  <c r="H241" i="9"/>
  <c r="I145" i="9"/>
  <c r="G209" i="9"/>
  <c r="G337" i="9"/>
  <c r="D177" i="9"/>
  <c r="C476" i="1"/>
  <c r="F16" i="6"/>
  <c r="F516" i="1"/>
  <c r="D17" i="9"/>
  <c r="F305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H53" i="9" l="1"/>
  <c r="C50" i="8"/>
  <c r="I53" i="9"/>
  <c r="C681" i="1"/>
  <c r="C680" i="1"/>
  <c r="C518" i="1"/>
  <c r="G518" i="1" s="1"/>
  <c r="C690" i="1"/>
  <c r="C523" i="1"/>
  <c r="G523" i="1" s="1"/>
  <c r="H21" i="9"/>
  <c r="C501" i="1"/>
  <c r="G501" i="1" s="1"/>
  <c r="I117" i="9"/>
  <c r="I369" i="9"/>
  <c r="I85" i="9"/>
  <c r="C618" i="1"/>
  <c r="C117" i="9"/>
  <c r="C507" i="1"/>
  <c r="G507" i="1" s="1"/>
  <c r="E309" i="9"/>
  <c r="G53" i="9"/>
  <c r="C498" i="1"/>
  <c r="G498" i="1" s="1"/>
  <c r="D21" i="9"/>
  <c r="C621" i="1"/>
  <c r="C506" i="1"/>
  <c r="G506" i="1" s="1"/>
  <c r="H213" i="9"/>
  <c r="C497" i="1"/>
  <c r="G497" i="1" s="1"/>
  <c r="C517" i="1"/>
  <c r="G517" i="1" s="1"/>
  <c r="C670" i="1"/>
  <c r="C688" i="1"/>
  <c r="D341" i="9"/>
  <c r="C712" i="1"/>
  <c r="C642" i="1"/>
  <c r="C540" i="1"/>
  <c r="G540" i="1" s="1"/>
  <c r="C570" i="1"/>
  <c r="C645" i="1"/>
  <c r="C543" i="1"/>
  <c r="I245" i="9"/>
  <c r="C551" i="1"/>
  <c r="C678" i="1"/>
  <c r="C539" i="1"/>
  <c r="G539" i="1" s="1"/>
  <c r="D213" i="9"/>
  <c r="C558" i="1"/>
  <c r="I277" i="9"/>
  <c r="F149" i="9"/>
  <c r="G309" i="9"/>
  <c r="C703" i="1"/>
  <c r="C620" i="1"/>
  <c r="C527" i="1"/>
  <c r="G527" i="1" s="1"/>
  <c r="C531" i="1"/>
  <c r="G531" i="1" s="1"/>
  <c r="E245" i="9"/>
  <c r="C515" i="1"/>
  <c r="G515" i="1" s="1"/>
  <c r="C694" i="1"/>
  <c r="H117" i="9"/>
  <c r="C676" i="1"/>
  <c r="C687" i="1"/>
  <c r="C574" i="1"/>
  <c r="C563" i="1"/>
  <c r="C692" i="1"/>
  <c r="I341" i="9"/>
  <c r="C568" i="1"/>
  <c r="C504" i="1"/>
  <c r="G504" i="1" s="1"/>
  <c r="C573" i="1"/>
  <c r="C622" i="1"/>
  <c r="E341" i="9"/>
  <c r="G181" i="9"/>
  <c r="C552" i="1"/>
  <c r="C555" i="1"/>
  <c r="C707" i="1"/>
  <c r="C632" i="1"/>
  <c r="C520" i="1"/>
  <c r="G520" i="1" s="1"/>
  <c r="C647" i="1"/>
  <c r="G21" i="9"/>
  <c r="C672" i="1"/>
  <c r="C625" i="1"/>
  <c r="C674" i="1"/>
  <c r="I213" i="9"/>
  <c r="C309" i="9"/>
  <c r="C559" i="1"/>
  <c r="C530" i="1"/>
  <c r="G530" i="1" s="1"/>
  <c r="I149" i="9"/>
  <c r="C702" i="1"/>
  <c r="C502" i="1"/>
  <c r="G502" i="1" s="1"/>
  <c r="H516" i="1"/>
  <c r="G213" i="9"/>
  <c r="C542" i="1"/>
  <c r="C631" i="1"/>
  <c r="E85" i="9"/>
  <c r="C512" i="1"/>
  <c r="C684" i="1"/>
  <c r="C639" i="1"/>
  <c r="H309" i="9"/>
  <c r="C564" i="1"/>
  <c r="C698" i="1"/>
  <c r="C526" i="1"/>
  <c r="G526" i="1" s="1"/>
  <c r="E149" i="9"/>
  <c r="C528" i="1"/>
  <c r="G528" i="1" s="1"/>
  <c r="D309" i="9"/>
  <c r="C640" i="1"/>
  <c r="C565" i="1"/>
  <c r="I309" i="9"/>
  <c r="C533" i="1"/>
  <c r="G533" i="1" s="1"/>
  <c r="C705" i="1"/>
  <c r="E181" i="9"/>
  <c r="C685" i="1"/>
  <c r="C513" i="1"/>
  <c r="G513" i="1" s="1"/>
  <c r="F85" i="9"/>
  <c r="C675" i="1"/>
  <c r="C503" i="1"/>
  <c r="G503" i="1" s="1"/>
  <c r="C53" i="9"/>
  <c r="C557" i="1"/>
  <c r="H277" i="9"/>
  <c r="C637" i="1"/>
  <c r="F277" i="9"/>
  <c r="G149" i="9"/>
  <c r="H544" i="1"/>
  <c r="F213" i="9"/>
  <c r="C541" i="1"/>
  <c r="C713" i="1"/>
  <c r="C710" i="1"/>
  <c r="C213" i="9"/>
  <c r="C538" i="1"/>
  <c r="G538" i="1" s="1"/>
  <c r="H149" i="9"/>
  <c r="C529" i="1"/>
  <c r="G529" i="1" s="1"/>
  <c r="C701" i="1"/>
  <c r="C524" i="1"/>
  <c r="C696" i="1"/>
  <c r="C149" i="9"/>
  <c r="C525" i="1"/>
  <c r="G525" i="1" s="1"/>
  <c r="C697" i="1"/>
  <c r="D149" i="9"/>
  <c r="C245" i="9"/>
  <c r="C628" i="1"/>
  <c r="C545" i="1"/>
  <c r="G545" i="1" s="1"/>
  <c r="C553" i="1"/>
  <c r="C636" i="1"/>
  <c r="D277" i="9"/>
  <c r="F21" i="9"/>
  <c r="C499" i="1"/>
  <c r="G499" i="1" s="1"/>
  <c r="C671" i="1"/>
  <c r="C709" i="1"/>
  <c r="C537" i="1"/>
  <c r="G537" i="1" s="1"/>
  <c r="I181" i="9"/>
  <c r="H245" i="9"/>
  <c r="C550" i="1"/>
  <c r="C614" i="1"/>
  <c r="C633" i="1"/>
  <c r="F245" i="9"/>
  <c r="C548" i="1"/>
  <c r="C708" i="1"/>
  <c r="C677" i="1"/>
  <c r="E53" i="9"/>
  <c r="C505" i="1"/>
  <c r="G505" i="1" s="1"/>
  <c r="C12" i="9"/>
  <c r="C71" i="1"/>
  <c r="CE62" i="1"/>
  <c r="C510" i="1"/>
  <c r="G510" i="1" s="1"/>
  <c r="C682" i="1"/>
  <c r="C85" i="9"/>
  <c r="G277" i="9"/>
  <c r="C635" i="1"/>
  <c r="C556" i="1"/>
  <c r="E117" i="9"/>
  <c r="C691" i="1"/>
  <c r="C519" i="1"/>
  <c r="G519" i="1" s="1"/>
  <c r="C521" i="1"/>
  <c r="G521" i="1" s="1"/>
  <c r="C693" i="1"/>
  <c r="G117" i="9"/>
  <c r="C554" i="1"/>
  <c r="E277" i="9"/>
  <c r="C634" i="1"/>
  <c r="F309" i="9"/>
  <c r="C562" i="1"/>
  <c r="C623" i="1"/>
  <c r="C511" i="1"/>
  <c r="C683" i="1"/>
  <c r="D85" i="9"/>
  <c r="H181" i="9"/>
  <c r="C560" i="1"/>
  <c r="C641" i="1"/>
  <c r="C566" i="1"/>
  <c r="C341" i="9"/>
  <c r="G85" i="9"/>
  <c r="C514" i="1"/>
  <c r="C686" i="1"/>
  <c r="C571" i="1"/>
  <c r="C646" i="1"/>
  <c r="H341" i="9"/>
  <c r="F181" i="9"/>
  <c r="C706" i="1"/>
  <c r="C534" i="1"/>
  <c r="G534" i="1" s="1"/>
  <c r="C532" i="1"/>
  <c r="G532" i="1" s="1"/>
  <c r="C704" i="1"/>
  <c r="D181" i="9"/>
  <c r="C569" i="1"/>
  <c r="C644" i="1"/>
  <c r="F341" i="9"/>
  <c r="C624" i="1"/>
  <c r="C549" i="1"/>
  <c r="G245" i="9"/>
  <c r="D245" i="9"/>
  <c r="C546" i="1"/>
  <c r="G546" i="1" s="1"/>
  <c r="C630" i="1"/>
  <c r="F522" i="1"/>
  <c r="H522" i="1" s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H508" i="1" s="1"/>
  <c r="F514" i="1"/>
  <c r="H507" i="1"/>
  <c r="F507" i="1"/>
  <c r="F518" i="1"/>
  <c r="F546" i="1"/>
  <c r="F506" i="1"/>
  <c r="H506" i="1"/>
  <c r="H500" i="1"/>
  <c r="F500" i="1"/>
  <c r="F509" i="1"/>
  <c r="H509" i="1"/>
  <c r="H518" i="1" l="1"/>
  <c r="H517" i="1"/>
  <c r="H498" i="1"/>
  <c r="H526" i="1"/>
  <c r="H520" i="1"/>
  <c r="H503" i="1"/>
  <c r="H546" i="1"/>
  <c r="G512" i="1"/>
  <c r="H512" i="1"/>
  <c r="C648" i="1"/>
  <c r="M716" i="1" s="1"/>
  <c r="D615" i="1"/>
  <c r="G514" i="1"/>
  <c r="H514" i="1" s="1"/>
  <c r="G550" i="1"/>
  <c r="H550" i="1" s="1"/>
  <c r="H510" i="1"/>
  <c r="G511" i="1"/>
  <c r="H511" i="1" s="1"/>
  <c r="I364" i="9"/>
  <c r="C428" i="1"/>
  <c r="C441" i="1" s="1"/>
  <c r="CE71" i="1"/>
  <c r="G524" i="1"/>
  <c r="H524" i="1" s="1"/>
  <c r="C496" i="1"/>
  <c r="C668" i="1"/>
  <c r="C21" i="9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C716" i="1"/>
  <c r="I373" i="9"/>
  <c r="D671" i="1"/>
  <c r="D634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88" i="1"/>
  <c r="D679" i="1"/>
  <c r="D693" i="1"/>
  <c r="D618" i="1"/>
  <c r="D687" i="1"/>
  <c r="D692" i="1"/>
  <c r="D622" i="1"/>
  <c r="D700" i="1"/>
  <c r="D623" i="1"/>
  <c r="D686" i="1"/>
  <c r="D699" i="1"/>
  <c r="D675" i="1"/>
  <c r="D630" i="1"/>
  <c r="D682" i="1"/>
  <c r="D716" i="1"/>
  <c r="D702" i="1"/>
  <c r="D698" i="1"/>
  <c r="D620" i="1"/>
  <c r="D673" i="1"/>
  <c r="D640" i="1"/>
  <c r="D701" i="1"/>
  <c r="D710" i="1"/>
  <c r="D668" i="1"/>
  <c r="D680" i="1"/>
  <c r="D643" i="1"/>
  <c r="D619" i="1"/>
  <c r="D695" i="1"/>
  <c r="D683" i="1"/>
  <c r="D624" i="1"/>
  <c r="D625" i="1"/>
  <c r="D681" i="1"/>
  <c r="D644" i="1"/>
  <c r="D645" i="1"/>
  <c r="D704" i="1"/>
  <c r="D639" i="1"/>
  <c r="D628" i="1"/>
  <c r="D705" i="1"/>
  <c r="D711" i="1"/>
  <c r="D631" i="1"/>
  <c r="D706" i="1"/>
  <c r="D676" i="1"/>
  <c r="D632" i="1"/>
  <c r="D617" i="1"/>
  <c r="D697" i="1"/>
  <c r="D685" i="1"/>
  <c r="D690" i="1"/>
  <c r="D707" i="1"/>
  <c r="D637" i="1"/>
  <c r="D694" i="1"/>
  <c r="D647" i="1"/>
  <c r="D635" i="1"/>
  <c r="D684" i="1"/>
  <c r="D642" i="1"/>
  <c r="D674" i="1"/>
  <c r="D709" i="1"/>
  <c r="D636" i="1"/>
  <c r="D713" i="1"/>
  <c r="D616" i="1"/>
  <c r="D629" i="1"/>
  <c r="D669" i="1"/>
  <c r="D691" i="1"/>
  <c r="D677" i="1"/>
  <c r="D689" i="1"/>
  <c r="D696" i="1"/>
  <c r="G496" i="1"/>
  <c r="H496" i="1" s="1"/>
  <c r="E623" i="1" l="1"/>
  <c r="E612" i="1"/>
  <c r="D715" i="1"/>
  <c r="E716" i="1" l="1"/>
  <c r="E685" i="1"/>
  <c r="E642" i="1"/>
  <c r="E705" i="1"/>
  <c r="E679" i="1"/>
  <c r="E630" i="1"/>
  <c r="E689" i="1"/>
  <c r="E647" i="1"/>
  <c r="E672" i="1"/>
  <c r="E669" i="1"/>
  <c r="E688" i="1"/>
  <c r="E643" i="1"/>
  <c r="E668" i="1"/>
  <c r="E710" i="1"/>
  <c r="E703" i="1"/>
  <c r="E686" i="1"/>
  <c r="E678" i="1"/>
  <c r="E709" i="1"/>
  <c r="E634" i="1"/>
  <c r="E673" i="1"/>
  <c r="E691" i="1"/>
  <c r="E674" i="1"/>
  <c r="E624" i="1"/>
  <c r="E671" i="1"/>
  <c r="E628" i="1"/>
  <c r="E711" i="1"/>
  <c r="E636" i="1"/>
  <c r="E699" i="1"/>
  <c r="E700" i="1"/>
  <c r="E670" i="1"/>
  <c r="E638" i="1"/>
  <c r="E712" i="1"/>
  <c r="E629" i="1"/>
  <c r="E632" i="1"/>
  <c r="E680" i="1"/>
  <c r="E690" i="1"/>
  <c r="E687" i="1"/>
  <c r="E635" i="1"/>
  <c r="E702" i="1"/>
  <c r="E682" i="1"/>
  <c r="E697" i="1"/>
  <c r="E692" i="1"/>
  <c r="E701" i="1"/>
  <c r="E696" i="1"/>
  <c r="E633" i="1"/>
  <c r="E706" i="1"/>
  <c r="E707" i="1"/>
  <c r="E675" i="1"/>
  <c r="E694" i="1"/>
  <c r="E627" i="1"/>
  <c r="E683" i="1"/>
  <c r="E639" i="1"/>
  <c r="E681" i="1"/>
  <c r="E708" i="1"/>
  <c r="E704" i="1"/>
  <c r="E646" i="1"/>
  <c r="E698" i="1"/>
  <c r="E695" i="1"/>
  <c r="E640" i="1"/>
  <c r="E637" i="1"/>
  <c r="E677" i="1"/>
  <c r="E676" i="1"/>
  <c r="E631" i="1"/>
  <c r="E625" i="1"/>
  <c r="E626" i="1"/>
  <c r="E693" i="1"/>
  <c r="E684" i="1"/>
  <c r="E644" i="1"/>
  <c r="E713" i="1"/>
  <c r="E645" i="1"/>
  <c r="E641" i="1"/>
  <c r="F624" i="1" l="1"/>
  <c r="E715" i="1"/>
  <c r="F675" i="1" l="1"/>
  <c r="F629" i="1"/>
  <c r="F645" i="1"/>
  <c r="F710" i="1"/>
  <c r="F706" i="1"/>
  <c r="F637" i="1"/>
  <c r="F691" i="1"/>
  <c r="F669" i="1"/>
  <c r="F681" i="1"/>
  <c r="F631" i="1"/>
  <c r="F702" i="1"/>
  <c r="F635" i="1"/>
  <c r="F642" i="1"/>
  <c r="F712" i="1"/>
  <c r="F680" i="1"/>
  <c r="F684" i="1"/>
  <c r="F636" i="1"/>
  <c r="F709" i="1"/>
  <c r="F689" i="1"/>
  <c r="F638" i="1"/>
  <c r="F693" i="1"/>
  <c r="F696" i="1"/>
  <c r="F683" i="1"/>
  <c r="F673" i="1"/>
  <c r="F688" i="1"/>
  <c r="F640" i="1"/>
  <c r="F630" i="1"/>
  <c r="F700" i="1"/>
  <c r="F708" i="1"/>
  <c r="F716" i="1"/>
  <c r="F694" i="1"/>
  <c r="F672" i="1"/>
  <c r="F687" i="1"/>
  <c r="F682" i="1"/>
  <c r="F698" i="1"/>
  <c r="F639" i="1"/>
  <c r="F634" i="1"/>
  <c r="F699" i="1"/>
  <c r="F625" i="1"/>
  <c r="F676" i="1"/>
  <c r="F643" i="1"/>
  <c r="F671" i="1"/>
  <c r="F692" i="1"/>
  <c r="F704" i="1"/>
  <c r="F697" i="1"/>
  <c r="F678" i="1"/>
  <c r="F626" i="1"/>
  <c r="F627" i="1"/>
  <c r="F690" i="1"/>
  <c r="F674" i="1"/>
  <c r="F644" i="1"/>
  <c r="F703" i="1"/>
  <c r="F647" i="1"/>
  <c r="F646" i="1"/>
  <c r="F713" i="1"/>
  <c r="F695" i="1"/>
  <c r="F711" i="1"/>
  <c r="F670" i="1"/>
  <c r="F632" i="1"/>
  <c r="F628" i="1"/>
  <c r="F705" i="1"/>
  <c r="F707" i="1"/>
  <c r="F701" i="1"/>
  <c r="F641" i="1"/>
  <c r="F668" i="1"/>
  <c r="F633" i="1"/>
  <c r="F686" i="1"/>
  <c r="F685" i="1"/>
  <c r="F677" i="1"/>
  <c r="F679" i="1"/>
  <c r="F715" i="1" l="1"/>
  <c r="G625" i="1"/>
  <c r="G679" i="1" l="1"/>
  <c r="G684" i="1"/>
  <c r="G631" i="1"/>
  <c r="G681" i="1"/>
  <c r="G637" i="1"/>
  <c r="G628" i="1"/>
  <c r="G642" i="1"/>
  <c r="G638" i="1"/>
  <c r="G678" i="1"/>
  <c r="G644" i="1"/>
  <c r="G710" i="1"/>
  <c r="G682" i="1"/>
  <c r="G697" i="1"/>
  <c r="G629" i="1"/>
  <c r="G698" i="1"/>
  <c r="G687" i="1"/>
  <c r="G630" i="1"/>
  <c r="G635" i="1"/>
  <c r="G699" i="1"/>
  <c r="G643" i="1"/>
  <c r="G704" i="1"/>
  <c r="G695" i="1"/>
  <c r="G713" i="1"/>
  <c r="G632" i="1"/>
  <c r="G671" i="1"/>
  <c r="G627" i="1"/>
  <c r="G672" i="1"/>
  <c r="G706" i="1"/>
  <c r="G674" i="1"/>
  <c r="G668" i="1"/>
  <c r="G707" i="1"/>
  <c r="G634" i="1"/>
  <c r="G689" i="1"/>
  <c r="G693" i="1"/>
  <c r="G700" i="1"/>
  <c r="G683" i="1"/>
  <c r="G690" i="1"/>
  <c r="G646" i="1"/>
  <c r="G633" i="1"/>
  <c r="G692" i="1"/>
  <c r="G626" i="1"/>
  <c r="G680" i="1"/>
  <c r="G639" i="1"/>
  <c r="G677" i="1"/>
  <c r="G694" i="1"/>
  <c r="G636" i="1"/>
  <c r="G712" i="1"/>
  <c r="G685" i="1"/>
  <c r="G673" i="1"/>
  <c r="G686" i="1"/>
  <c r="G640" i="1"/>
  <c r="G708" i="1"/>
  <c r="G705" i="1"/>
  <c r="G645" i="1"/>
  <c r="G703" i="1"/>
  <c r="G675" i="1"/>
  <c r="G709" i="1"/>
  <c r="G696" i="1"/>
  <c r="G669" i="1"/>
  <c r="G670" i="1"/>
  <c r="G688" i="1"/>
  <c r="G691" i="1"/>
  <c r="G641" i="1"/>
  <c r="G676" i="1"/>
  <c r="G711" i="1"/>
  <c r="G716" i="1"/>
  <c r="G702" i="1"/>
  <c r="G701" i="1"/>
  <c r="G647" i="1"/>
  <c r="H628" i="1" l="1"/>
  <c r="H639" i="1" s="1"/>
  <c r="G715" i="1"/>
  <c r="H669" i="1" l="1"/>
  <c r="H679" i="1"/>
  <c r="H695" i="1"/>
  <c r="H710" i="1"/>
  <c r="H637" i="1"/>
  <c r="H684" i="1"/>
  <c r="H706" i="1"/>
  <c r="H646" i="1"/>
  <c r="H631" i="1"/>
  <c r="H694" i="1"/>
  <c r="H680" i="1"/>
  <c r="H712" i="1"/>
  <c r="H630" i="1"/>
  <c r="H645" i="1"/>
  <c r="H640" i="1"/>
  <c r="H647" i="1"/>
  <c r="H673" i="1"/>
  <c r="H685" i="1"/>
  <c r="H690" i="1"/>
  <c r="H633" i="1"/>
  <c r="H701" i="1"/>
  <c r="H635" i="1"/>
  <c r="H691" i="1"/>
  <c r="H700" i="1"/>
  <c r="H703" i="1"/>
  <c r="H671" i="1"/>
  <c r="H636" i="1"/>
  <c r="H716" i="1"/>
  <c r="H681" i="1"/>
  <c r="H713" i="1"/>
  <c r="H693" i="1"/>
  <c r="H668" i="1"/>
  <c r="H705" i="1"/>
  <c r="H682" i="1"/>
  <c r="H707" i="1"/>
  <c r="H644" i="1"/>
  <c r="H676" i="1"/>
  <c r="H696" i="1"/>
  <c r="H692" i="1"/>
  <c r="H643" i="1"/>
  <c r="H641" i="1"/>
  <c r="H708" i="1"/>
  <c r="H689" i="1"/>
  <c r="H675" i="1"/>
  <c r="H642" i="1"/>
  <c r="H704" i="1"/>
  <c r="H711" i="1"/>
  <c r="H687" i="1"/>
  <c r="H632" i="1"/>
  <c r="H678" i="1"/>
  <c r="H634" i="1"/>
  <c r="H683" i="1"/>
  <c r="H674" i="1"/>
  <c r="H629" i="1"/>
  <c r="I629" i="1" s="1"/>
  <c r="H702" i="1"/>
  <c r="H638" i="1"/>
  <c r="H697" i="1"/>
  <c r="H686" i="1"/>
  <c r="H709" i="1"/>
  <c r="H698" i="1"/>
  <c r="H677" i="1"/>
  <c r="H672" i="1"/>
  <c r="H670" i="1"/>
  <c r="H688" i="1"/>
  <c r="H699" i="1"/>
  <c r="H715" i="1" l="1"/>
  <c r="I637" i="1"/>
  <c r="I692" i="1"/>
  <c r="I647" i="1"/>
  <c r="I676" i="1"/>
  <c r="I672" i="1"/>
  <c r="I640" i="1"/>
  <c r="I709" i="1"/>
  <c r="I630" i="1"/>
  <c r="I669" i="1"/>
  <c r="I674" i="1"/>
  <c r="I689" i="1"/>
  <c r="I641" i="1"/>
  <c r="I702" i="1"/>
  <c r="I673" i="1"/>
  <c r="I696" i="1"/>
  <c r="I695" i="1"/>
  <c r="I643" i="1"/>
  <c r="I633" i="1"/>
  <c r="I645" i="1"/>
  <c r="I711" i="1"/>
  <c r="I636" i="1"/>
  <c r="I677" i="1"/>
  <c r="I704" i="1"/>
  <c r="I685" i="1"/>
  <c r="I686" i="1"/>
  <c r="I703" i="1"/>
  <c r="I710" i="1"/>
  <c r="I706" i="1"/>
  <c r="I705" i="1"/>
  <c r="I694" i="1"/>
  <c r="I635" i="1"/>
  <c r="I644" i="1"/>
  <c r="I713" i="1"/>
  <c r="I678" i="1"/>
  <c r="I670" i="1"/>
  <c r="I684" i="1"/>
  <c r="I634" i="1"/>
  <c r="I716" i="1"/>
  <c r="I683" i="1"/>
  <c r="I712" i="1"/>
  <c r="I646" i="1"/>
  <c r="I690" i="1"/>
  <c r="I631" i="1"/>
  <c r="I682" i="1"/>
  <c r="I671" i="1"/>
  <c r="I700" i="1"/>
  <c r="I699" i="1"/>
  <c r="I691" i="1"/>
  <c r="I688" i="1"/>
  <c r="I698" i="1"/>
  <c r="I701" i="1"/>
  <c r="I679" i="1"/>
  <c r="I632" i="1"/>
  <c r="I680" i="1"/>
  <c r="I642" i="1"/>
  <c r="I681" i="1"/>
  <c r="I693" i="1"/>
  <c r="I697" i="1"/>
  <c r="I708" i="1"/>
  <c r="I675" i="1"/>
  <c r="I639" i="1"/>
  <c r="I638" i="1"/>
  <c r="I668" i="1"/>
  <c r="I687" i="1"/>
  <c r="I707" i="1"/>
  <c r="I715" i="1" l="1"/>
  <c r="J630" i="1"/>
  <c r="J700" i="1" l="1"/>
  <c r="J638" i="1"/>
  <c r="J636" i="1"/>
  <c r="J709" i="1"/>
  <c r="J680" i="1"/>
  <c r="J677" i="1"/>
  <c r="J710" i="1"/>
  <c r="J702" i="1"/>
  <c r="J644" i="1"/>
  <c r="J670" i="1"/>
  <c r="J706" i="1"/>
  <c r="J668" i="1"/>
  <c r="J713" i="1"/>
  <c r="J642" i="1"/>
  <c r="J692" i="1"/>
  <c r="J631" i="1"/>
  <c r="J687" i="1"/>
  <c r="J647" i="1"/>
  <c r="J699" i="1"/>
  <c r="J674" i="1"/>
  <c r="J671" i="1"/>
  <c r="J704" i="1"/>
  <c r="J632" i="1"/>
  <c r="J639" i="1"/>
  <c r="J708" i="1"/>
  <c r="J635" i="1"/>
  <c r="J673" i="1"/>
  <c r="J712" i="1"/>
  <c r="J703" i="1"/>
  <c r="J685" i="1"/>
  <c r="J696" i="1"/>
  <c r="J695" i="1"/>
  <c r="J707" i="1"/>
  <c r="J645" i="1"/>
  <c r="J690" i="1"/>
  <c r="J679" i="1"/>
  <c r="J633" i="1"/>
  <c r="J669" i="1"/>
  <c r="J682" i="1"/>
  <c r="J701" i="1"/>
  <c r="J694" i="1"/>
  <c r="J689" i="1"/>
  <c r="J686" i="1"/>
  <c r="J683" i="1"/>
  <c r="J697" i="1"/>
  <c r="J678" i="1"/>
  <c r="J716" i="1"/>
  <c r="J688" i="1"/>
  <c r="J640" i="1"/>
  <c r="J641" i="1"/>
  <c r="J711" i="1"/>
  <c r="J646" i="1"/>
  <c r="J693" i="1"/>
  <c r="J676" i="1"/>
  <c r="J675" i="1"/>
  <c r="J684" i="1"/>
  <c r="J681" i="1"/>
  <c r="J672" i="1"/>
  <c r="J643" i="1"/>
  <c r="J634" i="1"/>
  <c r="J698" i="1"/>
  <c r="J691" i="1"/>
  <c r="J705" i="1"/>
  <c r="J637" i="1"/>
  <c r="L647" i="1" l="1"/>
  <c r="L670" i="1" s="1"/>
  <c r="K644" i="1"/>
  <c r="K671" i="1" s="1"/>
  <c r="J715" i="1"/>
  <c r="K691" i="1" l="1"/>
  <c r="K678" i="1"/>
  <c r="K692" i="1"/>
  <c r="K700" i="1"/>
  <c r="K668" i="1"/>
  <c r="K698" i="1"/>
  <c r="K676" i="1"/>
  <c r="K672" i="1"/>
  <c r="K716" i="1"/>
  <c r="K705" i="1"/>
  <c r="K669" i="1"/>
  <c r="K693" i="1"/>
  <c r="K697" i="1"/>
  <c r="K686" i="1"/>
  <c r="K680" i="1"/>
  <c r="K681" i="1"/>
  <c r="K701" i="1"/>
  <c r="K690" i="1"/>
  <c r="K670" i="1"/>
  <c r="M670" i="1" s="1"/>
  <c r="K684" i="1"/>
  <c r="K688" i="1"/>
  <c r="K682" i="1"/>
  <c r="K713" i="1"/>
  <c r="K711" i="1"/>
  <c r="K710" i="1"/>
  <c r="K685" i="1"/>
  <c r="K673" i="1"/>
  <c r="K674" i="1"/>
  <c r="K677" i="1"/>
  <c r="K679" i="1"/>
  <c r="K683" i="1"/>
  <c r="K675" i="1"/>
  <c r="K708" i="1"/>
  <c r="K709" i="1"/>
  <c r="K706" i="1"/>
  <c r="K689" i="1"/>
  <c r="K687" i="1"/>
  <c r="K703" i="1"/>
  <c r="K699" i="1"/>
  <c r="K702" i="1"/>
  <c r="K704" i="1"/>
  <c r="K696" i="1"/>
  <c r="K695" i="1"/>
  <c r="K694" i="1"/>
  <c r="L674" i="1"/>
  <c r="L708" i="1"/>
  <c r="M708" i="1" s="1"/>
  <c r="L671" i="1"/>
  <c r="M671" i="1" s="1"/>
  <c r="L705" i="1"/>
  <c r="M705" i="1" s="1"/>
  <c r="E183" i="9" s="1"/>
  <c r="L673" i="1"/>
  <c r="L677" i="1"/>
  <c r="L713" i="1"/>
  <c r="L710" i="1"/>
  <c r="L711" i="1"/>
  <c r="L682" i="1"/>
  <c r="L679" i="1"/>
  <c r="L703" i="1"/>
  <c r="L685" i="1"/>
  <c r="L680" i="1"/>
  <c r="L675" i="1"/>
  <c r="L689" i="1"/>
  <c r="L693" i="1"/>
  <c r="L686" i="1"/>
  <c r="M686" i="1" s="1"/>
  <c r="L701" i="1"/>
  <c r="L695" i="1"/>
  <c r="L696" i="1"/>
  <c r="L704" i="1"/>
  <c r="L716" i="1"/>
  <c r="L691" i="1"/>
  <c r="M691" i="1" s="1"/>
  <c r="E119" i="9" s="1"/>
  <c r="L707" i="1"/>
  <c r="L676" i="1"/>
  <c r="M676" i="1" s="1"/>
  <c r="L688" i="1"/>
  <c r="L706" i="1"/>
  <c r="L668" i="1"/>
  <c r="L690" i="1"/>
  <c r="L692" i="1"/>
  <c r="M692" i="1" s="1"/>
  <c r="L683" i="1"/>
  <c r="L697" i="1"/>
  <c r="L702" i="1"/>
  <c r="L694" i="1"/>
  <c r="L684" i="1"/>
  <c r="M684" i="1" s="1"/>
  <c r="L698" i="1"/>
  <c r="L709" i="1"/>
  <c r="M709" i="1" s="1"/>
  <c r="L681" i="1"/>
  <c r="L669" i="1"/>
  <c r="M669" i="1" s="1"/>
  <c r="D23" i="9" s="1"/>
  <c r="L699" i="1"/>
  <c r="L687" i="1"/>
  <c r="L700" i="1"/>
  <c r="L678" i="1"/>
  <c r="M678" i="1" s="1"/>
  <c r="F55" i="9" s="1"/>
  <c r="L672" i="1"/>
  <c r="L712" i="1"/>
  <c r="K712" i="1"/>
  <c r="K707" i="1"/>
  <c r="M698" i="1" l="1"/>
  <c r="E151" i="9" s="1"/>
  <c r="M700" i="1"/>
  <c r="M668" i="1"/>
  <c r="M693" i="1"/>
  <c r="G119" i="9" s="1"/>
  <c r="M687" i="1"/>
  <c r="H87" i="9" s="1"/>
  <c r="M706" i="1"/>
  <c r="M672" i="1"/>
  <c r="M697" i="1"/>
  <c r="D151" i="9" s="1"/>
  <c r="M689" i="1"/>
  <c r="C119" i="9" s="1"/>
  <c r="M702" i="1"/>
  <c r="I151" i="9" s="1"/>
  <c r="M704" i="1"/>
  <c r="M680" i="1"/>
  <c r="M681" i="1"/>
  <c r="I55" i="9" s="1"/>
  <c r="M688" i="1"/>
  <c r="I87" i="9" s="1"/>
  <c r="M701" i="1"/>
  <c r="M682" i="1"/>
  <c r="M711" i="1"/>
  <c r="D215" i="9" s="1"/>
  <c r="M710" i="1"/>
  <c r="M713" i="1"/>
  <c r="M690" i="1"/>
  <c r="M679" i="1"/>
  <c r="M685" i="1"/>
  <c r="M674" i="1"/>
  <c r="M677" i="1"/>
  <c r="M673" i="1"/>
  <c r="M675" i="1"/>
  <c r="M683" i="1"/>
  <c r="D87" i="9" s="1"/>
  <c r="M696" i="1"/>
  <c r="M703" i="1"/>
  <c r="C183" i="9" s="1"/>
  <c r="M694" i="1"/>
  <c r="M699" i="1"/>
  <c r="F151" i="9" s="1"/>
  <c r="M712" i="1"/>
  <c r="I183" i="9"/>
  <c r="M695" i="1"/>
  <c r="I119" i="9" s="1"/>
  <c r="M707" i="1"/>
  <c r="D55" i="9"/>
  <c r="L715" i="1"/>
  <c r="E87" i="9"/>
  <c r="K715" i="1"/>
  <c r="H183" i="9"/>
  <c r="F23" i="9"/>
  <c r="F119" i="9"/>
  <c r="G151" i="9"/>
  <c r="E23" i="9"/>
  <c r="G87" i="9"/>
  <c r="C23" i="9"/>
  <c r="D183" i="9" l="1"/>
  <c r="G23" i="9"/>
  <c r="H23" i="9"/>
  <c r="F183" i="9"/>
  <c r="H55" i="9"/>
  <c r="G55" i="9"/>
  <c r="C215" i="9"/>
  <c r="H151" i="9"/>
  <c r="I23" i="9"/>
  <c r="C87" i="9"/>
  <c r="F215" i="9"/>
  <c r="D119" i="9"/>
  <c r="E55" i="9"/>
  <c r="C151" i="9"/>
  <c r="C55" i="9"/>
  <c r="F87" i="9"/>
  <c r="M715" i="1"/>
  <c r="H119" i="9"/>
  <c r="G183" i="9"/>
  <c r="E215" i="9"/>
</calcChain>
</file>

<file path=xl/sharedStrings.xml><?xml version="1.0" encoding="utf-8"?>
<sst xmlns="http://schemas.openxmlformats.org/spreadsheetml/2006/main" count="4674" uniqueCount="1283">
  <si>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</si>
  <si>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</si>
  <si>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</si>
  <si>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</si>
  <si>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</si>
  <si>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</si>
  <si>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</si>
  <si>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</si>
  <si>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</si>
  <si>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</si>
  <si>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</si>
  <si>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</si>
  <si>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</si>
  <si>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</si>
  <si>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</si>
  <si>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</si>
  <si>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</si>
  <si>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</si>
  <si>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</si>
  <si>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</si>
  <si>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</si>
  <si>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</si>
  <si>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</si>
  <si>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</si>
  <si>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</si>
  <si>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</si>
  <si>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</si>
  <si>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</si>
  <si>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</si>
  <si>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</si>
  <si>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</si>
  <si>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</si>
  <si>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</si>
  <si>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</si>
  <si>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</si>
  <si>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</si>
  <si>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</si>
  <si>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</si>
  <si>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</si>
  <si>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</si>
  <si>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</si>
  <si>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</si>
  <si>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</si>
  <si>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</si>
  <si>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</si>
  <si>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</si>
  <si>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</si>
  <si>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</si>
  <si>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</si>
  <si>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</si>
  <si>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</si>
  <si>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</si>
  <si>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</si>
  <si>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</si>
  <si>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</si>
  <si>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</si>
  <si>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</si>
  <si>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</si>
  <si>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</si>
  <si>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</si>
  <si>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</si>
  <si>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</si>
  <si>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</si>
  <si>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</si>
  <si>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</si>
  <si>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</si>
  <si>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</si>
  <si>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</si>
  <si>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</si>
  <si>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</si>
  <si>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</si>
  <si>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</si>
  <si>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</si>
  <si>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</si>
  <si>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</si>
  <si>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</si>
  <si>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</si>
  <si>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</si>
  <si>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</si>
  <si>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</si>
  <si>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</si>
  <si>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</si>
  <si>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</si>
  <si>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</si>
  <si>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</si>
  <si>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</si>
  <si>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</si>
  <si>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</si>
  <si>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</si>
  <si>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</si>
  <si>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</si>
  <si>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</si>
  <si>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</si>
  <si>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</si>
  <si>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</si>
  <si>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</si>
  <si>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</si>
  <si>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</si>
  <si>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</si>
  <si>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</si>
  <si>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</si>
  <si>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</si>
  <si>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</si>
  <si>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</si>
  <si>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</si>
  <si>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</si>
  <si>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</si>
  <si>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</si>
  <si>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</si>
  <si>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</si>
  <si>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</si>
  <si>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</si>
  <si>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</si>
  <si>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</si>
  <si>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</si>
  <si>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</si>
  <si>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</si>
  <si>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</si>
  <si>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</si>
  <si>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</si>
  <si>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</si>
  <si>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</si>
  <si>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</si>
  <si>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</si>
  <si>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</si>
  <si>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</si>
  <si>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</si>
  <si>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</si>
  <si>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</si>
  <si>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</si>
  <si>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</si>
  <si>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</si>
  <si>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</si>
  <si>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</si>
  <si>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</si>
  <si>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</si>
  <si>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</si>
  <si>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</si>
  <si>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</si>
  <si>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</si>
  <si>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</si>
  <si>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</si>
  <si>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</si>
  <si>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</si>
  <si>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</si>
  <si>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</si>
  <si>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</si>
  <si>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</si>
  <si>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</si>
  <si>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</si>
  <si>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</si>
  <si>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</si>
  <si>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</si>
  <si>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</si>
  <si>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</si>
  <si>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</si>
  <si>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</si>
  <si>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</si>
  <si>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</si>
  <si>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</si>
  <si>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</si>
  <si>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</si>
  <si>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</si>
  <si>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</si>
  <si>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</si>
  <si>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</si>
  <si>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</si>
  <si>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</si>
  <si>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</si>
  <si>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</si>
  <si>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</si>
  <si>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</si>
  <si>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</si>
  <si>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</si>
  <si>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</si>
  <si>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</si>
  <si>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</si>
  <si>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</si>
  <si>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</si>
  <si>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</si>
  <si>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</si>
  <si>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</si>
  <si>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</si>
  <si>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</si>
  <si>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</si>
  <si>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</si>
  <si>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</si>
  <si>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</si>
  <si>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</si>
  <si>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</si>
  <si>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</si>
  <si>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</si>
  <si>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</si>
  <si>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</si>
  <si>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</si>
  <si>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</si>
  <si>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</si>
  <si>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</si>
  <si>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</si>
  <si>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</si>
  <si>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</si>
  <si>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</si>
  <si>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</si>
  <si>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</si>
  <si>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</si>
  <si>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</si>
  <si>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</si>
  <si>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</si>
  <si>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</si>
  <si>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</si>
  <si>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</si>
  <si>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</si>
  <si>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</si>
  <si>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</si>
  <si>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</si>
  <si>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</si>
  <si>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</si>
  <si>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</si>
  <si>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</si>
  <si>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</si>
  <si>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</si>
  <si>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</si>
  <si>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</si>
  <si>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</si>
  <si>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</si>
  <si>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</si>
  <si>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</si>
  <si>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</si>
  <si>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</si>
  <si>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</si>
  <si>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</si>
  <si>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</si>
  <si>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</si>
  <si>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</si>
  <si>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</si>
  <si>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</si>
  <si>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</si>
  <si>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</si>
  <si>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</si>
  <si>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</si>
  <si>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</si>
  <si>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</si>
  <si>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</si>
  <si>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</si>
  <si>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</si>
  <si>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</si>
  <si>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</si>
  <si>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</si>
  <si>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</si>
  <si>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</si>
  <si>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</si>
  <si>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</si>
  <si>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</si>
  <si>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</si>
  <si>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</si>
  <si>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</si>
  <si>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</si>
  <si>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</si>
  <si>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</si>
  <si>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</si>
  <si>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</si>
  <si>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</si>
  <si>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</si>
  <si>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</si>
  <si>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</si>
  <si>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</si>
  <si>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</si>
  <si>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</si>
  <si>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</si>
  <si>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</si>
  <si>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</si>
  <si>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</si>
  <si>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</si>
  <si>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</si>
  <si>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</si>
  <si>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</si>
  <si>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</si>
  <si>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</si>
  <si>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</si>
  <si>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</si>
  <si>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</si>
  <si>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</si>
  <si>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</si>
  <si>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</si>
  <si>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</si>
  <si>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</si>
  <si>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</si>
  <si>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</si>
  <si>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</si>
  <si>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</si>
  <si>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</si>
  <si>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</si>
  <si>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</si>
  <si>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</si>
  <si>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</si>
  <si>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</si>
  <si>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</si>
  <si>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</si>
  <si>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</si>
  <si>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</si>
  <si>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</si>
  <si>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</si>
  <si>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</si>
  <si>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</si>
  <si>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</si>
  <si>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</si>
  <si>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</si>
  <si>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</si>
  <si>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</si>
  <si>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</si>
  <si>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</si>
  <si>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</si>
  <si>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</si>
  <si>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</si>
  <si>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</si>
  <si>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</si>
  <si>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</si>
  <si>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</si>
  <si>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</si>
  <si>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</si>
  <si>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</si>
  <si>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</si>
  <si>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</si>
  <si>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</si>
  <si>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</si>
  <si>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</si>
  <si>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</si>
  <si>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</si>
  <si>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</si>
  <si>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</si>
  <si>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</si>
  <si>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</si>
  <si>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</si>
  <si>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</si>
  <si>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</si>
  <si>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</si>
  <si>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</si>
  <si>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</si>
  <si>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</si>
  <si>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</si>
  <si>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</si>
  <si>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</si>
  <si>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</si>
  <si>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</si>
  <si>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</si>
  <si>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</si>
  <si>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</si>
  <si>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</si>
  <si>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</si>
  <si>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</si>
  <si>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</si>
  <si>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</si>
  <si>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</si>
  <si>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</si>
  <si>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</si>
  <si>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</si>
  <si>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</si>
  <si>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</si>
  <si>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</si>
  <si>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</si>
  <si>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</si>
  <si>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</si>
  <si>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</si>
  <si>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</si>
  <si>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</si>
  <si>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</si>
  <si>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</si>
  <si>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</si>
  <si>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</si>
  <si>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</si>
  <si>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</si>
  <si>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</si>
  <si>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</si>
  <si>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</si>
  <si>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</si>
  <si>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</si>
  <si>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</si>
  <si>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</si>
  <si>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</si>
  <si>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</si>
  <si>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</si>
  <si>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</si>
  <si>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</si>
  <si>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</si>
  <si>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</si>
  <si>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</si>
  <si>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</si>
  <si>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</si>
  <si>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</si>
  <si>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</si>
  <si>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</si>
  <si>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</si>
  <si>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</si>
  <si>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</si>
  <si>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</si>
  <si>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</si>
  <si>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</si>
  <si>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</si>
  <si>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</si>
  <si>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</si>
  <si>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</si>
  <si>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</si>
  <si>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</si>
  <si>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</si>
  <si>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</si>
  <si>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</si>
  <si>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</si>
  <si>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</si>
  <si>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</si>
  <si>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</si>
  <si>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</si>
  <si>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</si>
  <si>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</si>
  <si>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</si>
  <si>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</si>
  <si>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</si>
  <si>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</si>
  <si>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</si>
  <si>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</si>
  <si>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</si>
  <si>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</si>
  <si>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</si>
  <si>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</si>
  <si>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</si>
  <si>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</si>
  <si>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</si>
  <si>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</si>
  <si>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</si>
  <si>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</si>
  <si>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</si>
  <si>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</si>
  <si>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</si>
  <si>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</si>
  <si>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</si>
  <si>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</si>
  <si>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</si>
  <si>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</si>
  <si>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</si>
  <si>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</si>
  <si>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</si>
  <si>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</si>
  <si>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</si>
  <si>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</si>
  <si>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</si>
  <si>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</si>
  <si>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</si>
  <si>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</si>
  <si>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</si>
  <si>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</si>
  <si>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</si>
  <si>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</si>
  <si>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</si>
  <si>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</si>
  <si>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</si>
  <si>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</si>
  <si>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</si>
  <si>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</si>
  <si>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</si>
  <si>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</si>
  <si>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</si>
  <si>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</si>
  <si>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</si>
  <si>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</si>
  <si>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</si>
  <si>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</si>
  <si>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</si>
  <si>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</si>
  <si>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</si>
  <si>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</si>
  <si>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</si>
  <si>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</si>
  <si>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</si>
  <si>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</si>
  <si>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</si>
  <si>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</si>
  <si>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</si>
  <si>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</si>
  <si>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</si>
  <si>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</si>
  <si>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</si>
  <si>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</si>
  <si>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</si>
  <si>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</si>
  <si>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</si>
  <si>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</si>
  <si>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</si>
  <si>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</si>
  <si>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</si>
  <si>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</si>
  <si>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</si>
  <si>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</si>
  <si>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</si>
  <si>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</si>
  <si>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</si>
  <si>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</si>
  <si>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</si>
  <si>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</si>
  <si>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</si>
  <si>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</si>
  <si>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</si>
  <si>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</si>
  <si>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</si>
  <si>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</si>
  <si>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</si>
  <si>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</si>
  <si>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</si>
  <si>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</si>
  <si>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</si>
  <si>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</si>
  <si>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</si>
  <si>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</si>
  <si>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</si>
  <si>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</si>
  <si>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</si>
  <si>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</si>
  <si>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</si>
  <si>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</si>
  <si>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</si>
  <si>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</si>
  <si>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</si>
  <si>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</si>
  <si>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</si>
  <si>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</si>
  <si>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</si>
  <si>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</si>
  <si>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</si>
  <si>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</si>
  <si>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</si>
  <si>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</si>
  <si>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</si>
  <si>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</si>
  <si>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</si>
  <si>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</si>
  <si>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</si>
  <si>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</si>
  <si>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</si>
  <si>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</si>
  <si>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</si>
  <si>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</si>
  <si>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</si>
  <si>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</si>
  <si>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</si>
  <si>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</si>
  <si>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</si>
  <si>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</si>
  <si>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</si>
  <si>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</si>
  <si>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</si>
  <si>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</si>
  <si>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</si>
  <si>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</si>
  <si>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</si>
  <si>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</si>
  <si>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</si>
  <si>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</si>
  <si>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</si>
  <si>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</si>
  <si>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</si>
  <si>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</si>
  <si>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</si>
  <si>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</si>
  <si>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</si>
  <si>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</si>
  <si>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</si>
  <si>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</si>
  <si>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</si>
  <si>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</si>
  <si>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</si>
  <si>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</si>
  <si>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</si>
  <si>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</si>
  <si>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</si>
  <si>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</si>
  <si>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</si>
  <si>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</si>
  <si>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</si>
  <si>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</si>
  <si>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</si>
  <si>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</si>
  <si>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</si>
  <si>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</si>
  <si>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</si>
  <si>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</si>
  <si>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</si>
  <si>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</si>
  <si>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</si>
  <si>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</si>
  <si>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</si>
  <si>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</si>
  <si>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</si>
  <si>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</si>
  <si>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</si>
  <si>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</si>
  <si>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</si>
  <si>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</si>
  <si>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</si>
  <si>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</si>
  <si>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</si>
  <si>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</si>
  <si>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</si>
  <si>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</si>
  <si>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</si>
  <si>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</si>
  <si>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</si>
  <si>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</si>
  <si>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</si>
  <si>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</si>
  <si>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</si>
  <si>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</si>
  <si>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</si>
  <si>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</si>
  <si>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</si>
  <si>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</si>
  <si>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</si>
  <si>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</si>
  <si>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</si>
  <si>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</si>
  <si>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</si>
  <si>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</si>
  <si>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</si>
  <si>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</si>
  <si>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</si>
  <si>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</si>
  <si>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</si>
  <si>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</si>
  <si>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</si>
  <si>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</si>
  <si>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</si>
  <si>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</si>
  <si>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</si>
  <si>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</si>
  <si>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</si>
  <si>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</si>
  <si>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</si>
  <si>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</si>
  <si>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</si>
  <si>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</si>
  <si>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</si>
  <si>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</si>
  <si>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</si>
  <si>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</si>
  <si>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</si>
  <si>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</si>
  <si>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</si>
  <si>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</si>
  <si>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</si>
  <si>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</si>
  <si>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</si>
  <si>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</si>
  <si>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</si>
  <si>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</si>
  <si>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</si>
  <si>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</si>
  <si>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</si>
  <si>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</si>
  <si>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</si>
  <si>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</si>
  <si>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</si>
  <si>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</si>
  <si>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</si>
  <si>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</si>
  <si>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</si>
  <si>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</si>
  <si>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</si>
  <si>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</si>
  <si>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</si>
  <si>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</si>
  <si>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</si>
  <si>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</si>
  <si>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</si>
  <si>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</si>
  <si>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</si>
  <si>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</si>
  <si>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</si>
  <si>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</si>
  <si>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</si>
  <si>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</si>
  <si>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</si>
  <si>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</si>
  <si>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</si>
  <si>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</si>
  <si>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</si>
  <si>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</si>
  <si>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</si>
  <si>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</si>
  <si>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</si>
  <si>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</si>
  <si>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</si>
  <si>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</si>
  <si>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</si>
  <si>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</si>
  <si>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</si>
  <si>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</si>
  <si>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</si>
  <si>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</si>
  <si>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</si>
  <si>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</si>
  <si>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</si>
  <si>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</si>
  <si>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</si>
  <si>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</si>
  <si>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</si>
  <si>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</si>
  <si>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</si>
  <si>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</si>
  <si>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</si>
  <si>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</si>
  <si>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</si>
  <si>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</si>
  <si>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</si>
  <si>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</si>
  <si>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</si>
  <si>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</si>
  <si>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</si>
  <si>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</si>
  <si>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</si>
  <si>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</si>
  <si>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</si>
  <si>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</si>
  <si>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</si>
  <si>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</si>
  <si>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</si>
  <si>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</si>
  <si>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</si>
  <si>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</si>
  <si>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</si>
  <si>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</si>
  <si>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</si>
  <si>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</si>
  <si>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</si>
  <si>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</si>
  <si>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</si>
  <si>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</si>
  <si>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</si>
  <si>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</si>
  <si>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</si>
  <si>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</si>
  <si>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</si>
  <si>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</si>
  <si>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</si>
  <si>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</si>
  <si>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</si>
  <si>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</si>
  <si>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</si>
  <si>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</si>
  <si>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</si>
  <si>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</si>
  <si>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</si>
  <si>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</si>
  <si>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</si>
  <si>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</si>
  <si>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</si>
  <si>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</si>
  <si>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</si>
  <si>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</si>
  <si>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</si>
  <si>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</si>
  <si>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</si>
  <si>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</si>
  <si>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</si>
  <si>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</si>
  <si>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</si>
  <si>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</si>
  <si>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</si>
  <si>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</si>
  <si>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</si>
  <si>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</si>
  <si>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</si>
  <si>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</si>
  <si>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</si>
  <si>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</si>
  <si>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</si>
  <si>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</si>
  <si>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</si>
  <si>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</si>
  <si>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</si>
  <si>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</si>
  <si>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</si>
  <si>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</si>
  <si>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</si>
  <si>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</si>
  <si>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</si>
  <si>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</si>
  <si>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</si>
  <si>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</si>
  <si>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</si>
  <si>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</si>
  <si>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</si>
  <si>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</si>
  <si>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</si>
  <si>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</si>
  <si>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</si>
  <si>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</si>
  <si>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</si>
  <si>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</si>
  <si>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</si>
  <si>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</si>
  <si>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</si>
  <si>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</si>
  <si>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</si>
  <si>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</si>
  <si>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</si>
  <si>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</si>
  <si>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</si>
  <si>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</si>
  <si>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</si>
  <si>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</si>
  <si>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</si>
  <si>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</si>
  <si>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</si>
  <si>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</si>
  <si>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</si>
  <si>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</si>
  <si>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</si>
  <si>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</si>
  <si>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</si>
  <si>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</si>
  <si>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</si>
  <si>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</si>
  <si>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</si>
  <si>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</si>
  <si>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</si>
  <si>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</si>
  <si>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</si>
  <si>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</si>
  <si>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</si>
  <si>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</si>
  <si>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</si>
  <si>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</si>
  <si>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</si>
  <si>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</si>
  <si>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</si>
  <si>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</si>
  <si>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</si>
  <si>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</si>
  <si>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</si>
  <si>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</si>
  <si>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</si>
  <si>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</si>
  <si>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</si>
  <si>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</si>
  <si>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</si>
  <si>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</si>
  <si>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</si>
  <si>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</si>
  <si>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</si>
  <si>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</si>
  <si>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</si>
  <si>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</si>
  <si>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</si>
  <si>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</si>
  <si>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</si>
  <si>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</si>
  <si>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</si>
  <si>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</si>
  <si>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</si>
  <si>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</si>
  <si>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</si>
  <si>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</si>
  <si>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</si>
  <si>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</si>
  <si>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</si>
  <si>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</si>
  <si>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</si>
  <si>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</si>
  <si>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</si>
  <si>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</si>
  <si>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</si>
  <si>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</si>
  <si>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</si>
  <si>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</si>
  <si>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</si>
  <si>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</si>
  <si>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</si>
  <si>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</si>
  <si>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</si>
  <si>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</si>
  <si>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</si>
  <si>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</si>
  <si>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</si>
  <si>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</si>
  <si>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</si>
  <si>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</si>
  <si>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</si>
  <si>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</si>
  <si>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</si>
  <si>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</si>
  <si>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</si>
  <si>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</si>
  <si>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</si>
  <si>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</si>
  <si>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</si>
  <si>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</si>
  <si>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</si>
  <si>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</si>
  <si>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</si>
  <si>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</si>
  <si>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</si>
  <si>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</si>
  <si>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</si>
  <si>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</si>
  <si>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</si>
  <si>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</si>
  <si>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</si>
  <si>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</si>
  <si>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</si>
  <si>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</si>
  <si>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</si>
  <si>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</si>
  <si>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</si>
  <si>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</si>
  <si>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</si>
  <si>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</si>
  <si>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</si>
  <si>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</si>
  <si>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</si>
  <si>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</si>
  <si>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</si>
  <si>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</si>
  <si>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</si>
  <si>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</si>
  <si>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</si>
  <si>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</si>
  <si>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</si>
  <si>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</si>
  <si>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</si>
  <si>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</si>
  <si>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</si>
  <si>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</si>
  <si>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</si>
  <si>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</si>
  <si>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</si>
  <si>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</si>
  <si>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</si>
  <si>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</si>
  <si>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</si>
  <si>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</si>
  <si>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</si>
  <si>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</si>
  <si>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</si>
  <si>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</si>
  <si>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</si>
  <si>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</si>
  <si>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</si>
  <si>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</si>
  <si>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</si>
  <si>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</si>
  <si>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</si>
  <si>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</si>
  <si>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</si>
  <si>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</si>
  <si>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</si>
  <si>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</si>
  <si>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</si>
  <si>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</si>
  <si>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</si>
  <si>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</si>
  <si>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</si>
  <si>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</si>
  <si>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</si>
  <si>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</si>
  <si>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</si>
  <si>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</si>
  <si>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</si>
  <si>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</si>
  <si>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</si>
  <si>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</si>
  <si>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</si>
  <si>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</si>
  <si>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</si>
  <si>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</si>
  <si>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</si>
  <si>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</si>
  <si>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</si>
  <si>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</si>
  <si>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</si>
  <si>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</si>
  <si>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</si>
  <si>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</si>
  <si>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</si>
  <si>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</si>
  <si>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</si>
  <si>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</si>
  <si>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</si>
  <si>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</si>
  <si>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</si>
  <si>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</si>
  <si>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</si>
  <si>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</si>
  <si>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</si>
  <si>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</si>
  <si>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</si>
  <si>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</si>
  <si>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</si>
  <si>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</si>
  <si>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</si>
  <si>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</si>
  <si>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</si>
  <si>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</si>
  <si>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</si>
  <si>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</si>
  <si>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</si>
  <si>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</si>
  <si>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</si>
  <si>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</si>
  <si>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</si>
  <si>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</si>
  <si>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</si>
  <si>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</si>
  <si>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</si>
  <si>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</si>
  <si>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</si>
  <si>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</si>
  <si>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</si>
  <si>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</si>
  <si>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</si>
  <si>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</si>
  <si>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</si>
  <si>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</si>
  <si>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</si>
  <si>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</si>
  <si>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</si>
  <si>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</si>
  <si>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</si>
  <si>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</si>
  <si>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</si>
  <si>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</si>
  <si>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</si>
  <si>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</si>
  <si>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</si>
  <si>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</si>
  <si>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</si>
  <si>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</si>
  <si>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</si>
  <si>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</si>
  <si>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</si>
  <si>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</si>
  <si>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</si>
  <si>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</si>
  <si>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</si>
  <si>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</si>
  <si>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</si>
  <si>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</si>
  <si>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</si>
  <si>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</si>
  <si>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</si>
  <si>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</si>
  <si>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</si>
  <si>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</si>
  <si>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</si>
  <si>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</si>
  <si>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</si>
  <si>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</si>
  <si>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</si>
  <si>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</si>
  <si>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</si>
  <si>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</si>
  <si>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</si>
  <si>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</si>
  <si>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</si>
  <si>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</si>
  <si>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</si>
  <si>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</si>
  <si>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</si>
  <si>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</si>
  <si>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</si>
  <si>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</si>
  <si>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</si>
  <si>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</si>
  <si>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</si>
  <si>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</si>
  <si>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</si>
  <si>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</si>
  <si>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</si>
  <si>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</si>
  <si>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</si>
  <si>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</si>
  <si>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</si>
  <si>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</si>
  <si>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</si>
  <si>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</si>
  <si>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</si>
  <si>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</si>
  <si>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</si>
  <si>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</si>
  <si>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</si>
  <si>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</si>
  <si>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</si>
  <si>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</si>
  <si>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</si>
  <si>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</si>
  <si>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</si>
  <si>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</si>
  <si>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</si>
  <si>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</si>
  <si>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</si>
  <si>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</si>
  <si>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</si>
  <si>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</si>
  <si>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</si>
  <si>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</si>
  <si>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</si>
  <si>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</si>
  <si>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</si>
  <si>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</si>
  <si>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</si>
  <si>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</si>
  <si>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</si>
  <si>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</si>
  <si>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</si>
  <si>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</si>
  <si>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</si>
  <si>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</si>
  <si>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</si>
  <si>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</si>
  <si>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</si>
  <si>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</si>
  <si>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</si>
  <si>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</si>
  <si>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</si>
  <si>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</si>
  <si>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</si>
  <si>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</si>
  <si>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</si>
  <si>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</si>
  <si>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</si>
  <si>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</si>
  <si>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</si>
  <si>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</si>
  <si>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</si>
  <si>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</si>
  <si>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</si>
  <si>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</si>
  <si>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</si>
  <si>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</si>
  <si>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</si>
  <si>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</si>
  <si>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</si>
  <si>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</si>
  <si>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</si>
  <si>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</si>
  <si>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</si>
  <si>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</si>
  <si>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</si>
  <si>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</si>
  <si>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</si>
  <si>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</si>
  <si>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</si>
  <si>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</si>
  <si>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</si>
  <si>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</si>
  <si>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</si>
  <si>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</si>
  <si>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</si>
  <si>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</si>
  <si>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</si>
  <si>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</si>
  <si>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</si>
  <si>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</si>
  <si>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</si>
  <si>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</si>
  <si>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</si>
  <si>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</si>
  <si>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</si>
  <si>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</si>
  <si>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</si>
  <si>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</si>
  <si>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</si>
  <si>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</si>
  <si>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</si>
  <si>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</si>
  <si>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</si>
  <si>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</si>
  <si>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</si>
  <si>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</si>
  <si>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</si>
  <si>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</si>
  <si>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</si>
  <si>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</si>
  <si>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</si>
  <si>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</si>
  <si>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</si>
  <si>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</si>
  <si>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</si>
  <si>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</si>
  <si>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</si>
  <si>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</si>
  <si>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</si>
  <si>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</si>
  <si>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</si>
  <si>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</si>
  <si>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</si>
  <si>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</si>
  <si>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</si>
  <si>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</si>
  <si>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</si>
  <si>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</si>
  <si>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</si>
  <si>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</si>
  <si>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</si>
  <si>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</si>
  <si>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</si>
  <si>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</si>
  <si>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</si>
  <si>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</si>
  <si>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</si>
  <si>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</si>
  <si>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</si>
  <si>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</si>
  <si>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</si>
  <si>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</si>
  <si>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</si>
  <si>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</si>
  <si>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</si>
  <si>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</si>
  <si>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</si>
  <si>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</si>
  <si>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</si>
  <si>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</si>
  <si>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</si>
  <si>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</si>
  <si>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</si>
  <si>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</si>
  <si>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</si>
  <si>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</si>
  <si>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</si>
  <si>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</si>
  <si>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</si>
  <si>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</si>
  <si>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</si>
  <si>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</si>
  <si>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</si>
  <si>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</si>
  <si>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</si>
  <si>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</si>
  <si>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</si>
  <si>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</si>
  <si>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</si>
  <si>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</si>
  <si>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</si>
  <si>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</si>
  <si>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</si>
  <si>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</si>
  <si>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</si>
  <si>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</si>
  <si>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</si>
  <si>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</si>
  <si>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</si>
  <si>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</si>
  <si>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</si>
  <si>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</si>
  <si>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</si>
  <si>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</si>
  <si>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</si>
  <si>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</si>
  <si>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</si>
  <si>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</si>
  <si>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</si>
  <si>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</si>
  <si>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</si>
  <si>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</si>
  <si>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</si>
  <si>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</si>
  <si>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</si>
  <si>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</si>
  <si>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</si>
  <si>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</si>
  <si>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</si>
  <si>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152</t>
  </si>
  <si>
    <t>Public Hospital District No 1 of Mason County, WA, DBA Mason General Hospital and Family of Clinics</t>
  </si>
  <si>
    <t>901 Mountain View Drive</t>
  </si>
  <si>
    <t>901 Mountain View Drive, PO Box 1668</t>
  </si>
  <si>
    <t>Shelton, WA 98584</t>
  </si>
  <si>
    <t>Mason</t>
  </si>
  <si>
    <t>Eric Moll</t>
  </si>
  <si>
    <t>Rick Smith, CPA</t>
  </si>
  <si>
    <t>Scott Hilburn</t>
  </si>
  <si>
    <t>360-426-1661</t>
  </si>
  <si>
    <t>360-427-1921</t>
  </si>
  <si>
    <t>Gayle Weston</t>
  </si>
  <si>
    <t>360-432-7721</t>
  </si>
  <si>
    <t>Square feet increased due to moving HIM department offsite to the Gateway/Administrative Center, as well as Accounting/Finance.  Since unit of measure increased more than expenses, cost per unit of measure decreased.</t>
  </si>
  <si>
    <t>Units of measure (surgery minutes) dropped in 2018, resulting in a large expense per unit of measure increase over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</si>
</sst>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24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8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485665</v>
      </c>
      <c r="D47" s="184"/>
      <c r="E47" s="184">
        <v>1264561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450108</v>
      </c>
      <c r="Q47" s="184">
        <v>350396</v>
      </c>
      <c r="R47" s="184">
        <v>206085</v>
      </c>
      <c r="S47" s="184"/>
      <c r="T47" s="184"/>
      <c r="U47" s="184">
        <v>475178</v>
      </c>
      <c r="V47" s="184"/>
      <c r="W47" s="184">
        <v>55186</v>
      </c>
      <c r="X47" s="184">
        <v>110347</v>
      </c>
      <c r="Y47" s="184">
        <v>489542</v>
      </c>
      <c r="Z47" s="184"/>
      <c r="AA47" s="184">
        <v>28331</v>
      </c>
      <c r="AB47" s="184">
        <v>406806</v>
      </c>
      <c r="AC47" s="184">
        <v>247454</v>
      </c>
      <c r="AD47" s="184"/>
      <c r="AE47" s="184">
        <v>400265</v>
      </c>
      <c r="AF47" s="184"/>
      <c r="AG47" s="184">
        <v>579279</v>
      </c>
      <c r="AH47" s="184"/>
      <c r="AI47" s="184"/>
      <c r="AJ47" s="184"/>
      <c r="AK47" s="184"/>
      <c r="AL47" s="184"/>
      <c r="AM47" s="184"/>
      <c r="AN47" s="184"/>
      <c r="AO47" s="184"/>
      <c r="AP47" s="184">
        <v>3594259</v>
      </c>
      <c r="AQ47" s="184"/>
      <c r="AR47" s="184"/>
      <c r="AS47" s="184"/>
      <c r="AT47" s="184"/>
      <c r="AU47" s="184"/>
      <c r="AV47" s="184">
        <v>78870</v>
      </c>
      <c r="AW47" s="184"/>
      <c r="AX47" s="184"/>
      <c r="AY47" s="184">
        <v>298567</v>
      </c>
      <c r="AZ47" s="184"/>
      <c r="BA47" s="184">
        <v>32332</v>
      </c>
      <c r="BB47" s="184"/>
      <c r="BC47" s="184"/>
      <c r="BD47" s="184">
        <v>97486</v>
      </c>
      <c r="BE47" s="184">
        <v>262940</v>
      </c>
      <c r="BF47" s="184">
        <v>349985</v>
      </c>
      <c r="BG47" s="184"/>
      <c r="BH47" s="184">
        <v>141616</v>
      </c>
      <c r="BI47" s="184"/>
      <c r="BJ47" s="184">
        <v>130910</v>
      </c>
      <c r="BK47" s="184">
        <v>410145</v>
      </c>
      <c r="BL47" s="184">
        <v>389536</v>
      </c>
      <c r="BM47" s="184"/>
      <c r="BN47" s="184">
        <v>555727</v>
      </c>
      <c r="BO47" s="184">
        <v>50160</v>
      </c>
      <c r="BP47" s="184"/>
      <c r="BQ47" s="184"/>
      <c r="BR47" s="184">
        <v>74852</v>
      </c>
      <c r="BS47" s="184"/>
      <c r="BT47" s="184"/>
      <c r="BU47" s="184"/>
      <c r="BV47" s="184">
        <v>422125</v>
      </c>
      <c r="BW47" s="184">
        <v>44169</v>
      </c>
      <c r="BX47" s="184"/>
      <c r="BY47" s="184">
        <v>741653</v>
      </c>
      <c r="BZ47" s="184"/>
      <c r="CA47" s="184">
        <v>58108</v>
      </c>
      <c r="CB47" s="184"/>
      <c r="CC47" s="184">
        <f>177462+3</f>
        <v>177465</v>
      </c>
      <c r="CD47" s="195"/>
      <c r="CE47" s="195">
        <f>SUM(C47:CC47)</f>
        <v>13460108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826739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>
        <f>826739-174364</f>
        <v>652375</v>
      </c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652375</v>
      </c>
    </row>
    <row r="52" spans="1:84" ht="12.6" customHeight="1" x14ac:dyDescent="0.25">
      <c r="A52" s="171" t="s">
        <v>208</v>
      </c>
      <c r="B52" s="184">
        <f>6663533-B51</f>
        <v>5836794</v>
      </c>
      <c r="C52" s="195">
        <f>ROUND((B52/(CE76+CF76)*C76),0)</f>
        <v>203212</v>
      </c>
      <c r="D52" s="195">
        <f>ROUND((B52/(CE76+CF76)*D76),0)</f>
        <v>0</v>
      </c>
      <c r="E52" s="195">
        <f>ROUND((B52/(CE76+CF76)*E76),0)</f>
        <v>600265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15028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30394</v>
      </c>
      <c r="P52" s="195">
        <f>ROUND((B52/(CE76+CF76)*P76),0)</f>
        <v>204689</v>
      </c>
      <c r="Q52" s="195">
        <f>ROUND((B52/(CE76+CF76)*Q76),0)</f>
        <v>225944</v>
      </c>
      <c r="R52" s="195">
        <f>ROUND((B52/(CE76+CF76)*R76),0)</f>
        <v>9715</v>
      </c>
      <c r="S52" s="195">
        <f>ROUND((B52/(CE76+CF76)*S76),0)</f>
        <v>92607</v>
      </c>
      <c r="T52" s="195">
        <f>ROUND((B52/(CE76+CF76)*T76),0)</f>
        <v>0</v>
      </c>
      <c r="U52" s="195">
        <f>ROUND((B52/(CE76+CF76)*U76),0)</f>
        <v>129482</v>
      </c>
      <c r="V52" s="195">
        <f>ROUND((B52/(CE76+CF76)*V76),0)</f>
        <v>0</v>
      </c>
      <c r="W52" s="195">
        <f>ROUND((B52/(CE76+CF76)*W76),0)</f>
        <v>66639</v>
      </c>
      <c r="X52" s="195">
        <f>ROUND((B52/(CE76+CF76)*X76),0)</f>
        <v>24682</v>
      </c>
      <c r="Y52" s="195">
        <f>ROUND((B52/(CE76+CF76)*Y76),0)</f>
        <v>166158</v>
      </c>
      <c r="Z52" s="195">
        <f>ROUND((B52/(CE76+CF76)*Z76),0)</f>
        <v>0</v>
      </c>
      <c r="AA52" s="195">
        <f>ROUND((B52/(CE76+CF76)*AA76),0)</f>
        <v>21517</v>
      </c>
      <c r="AB52" s="195">
        <f>ROUND((B52/(CE76+CF76)*AB76),0)</f>
        <v>56662</v>
      </c>
      <c r="AC52" s="195">
        <f>ROUND((B52/(CE76+CF76)*AC76),0)</f>
        <v>25113</v>
      </c>
      <c r="AD52" s="195">
        <f>ROUND((B52/(CE76+CF76)*AD76),0)</f>
        <v>0</v>
      </c>
      <c r="AE52" s="195">
        <f>ROUND((B52/(CE76+CF76)*AE76),0)</f>
        <v>121168</v>
      </c>
      <c r="AF52" s="195">
        <f>ROUND((B52/(CE76+CF76)*AF76),0)</f>
        <v>0</v>
      </c>
      <c r="AG52" s="195">
        <f>ROUND((B52/(CE76+CF76)*AG76),0)</f>
        <v>297518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1379467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8354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157127</v>
      </c>
      <c r="AZ52" s="195">
        <f>ROUND((B52/(CE76+CF76)*AZ76),0)</f>
        <v>0</v>
      </c>
      <c r="BA52" s="195">
        <f>ROUND((B52/(CE76+CF76)*BA76),0)</f>
        <v>45543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106073</v>
      </c>
      <c r="BE52" s="195">
        <f>ROUND((B52/(CE76+CF76)*BE76),0)</f>
        <v>772341</v>
      </c>
      <c r="BF52" s="195">
        <f>ROUND((B52/(CE76+CF76)*BF76),0)</f>
        <v>66387</v>
      </c>
      <c r="BG52" s="195">
        <f>ROUND((B52/(CE76+CF76)*BG76),0)</f>
        <v>0</v>
      </c>
      <c r="BH52" s="195">
        <f>ROUND((B52/(CE76+CF76)*BH76),0)</f>
        <v>101483</v>
      </c>
      <c r="BI52" s="195">
        <f>ROUND((B52/(CE76+CF76)*BI76),0)</f>
        <v>0</v>
      </c>
      <c r="BJ52" s="195">
        <f>ROUND((B52/(CE76+CF76)*BJ76),0)</f>
        <v>95820</v>
      </c>
      <c r="BK52" s="195">
        <f>ROUND((B52/(CE76+CF76)*BK76),0)</f>
        <v>85362</v>
      </c>
      <c r="BL52" s="195">
        <f>ROUND((B52/(CE76+CF76)*BL76),0)</f>
        <v>67356</v>
      </c>
      <c r="BM52" s="195">
        <f>ROUND((B52/(CE76+CF76)*BM76),0)</f>
        <v>0</v>
      </c>
      <c r="BN52" s="195">
        <f>ROUND((B52/(CE76+CF76)*BN76),0)</f>
        <v>139770</v>
      </c>
      <c r="BO52" s="195">
        <f>ROUND((B52/(CE76+CF76)*BO76),0)</f>
        <v>9955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59145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131160</v>
      </c>
      <c r="BW52" s="195">
        <f>ROUND((B52/(CE76+CF76)*BW76),0)</f>
        <v>31857</v>
      </c>
      <c r="BX52" s="195">
        <f>ROUND((B52/(CE76+CF76)*BX76),0)</f>
        <v>0</v>
      </c>
      <c r="BY52" s="195">
        <f>ROUND((B52/(CE76+CF76)*BY76),0)</f>
        <v>75715</v>
      </c>
      <c r="BZ52" s="195">
        <f>ROUND((B52/(CE76+CF76)*BZ76),0)</f>
        <v>0</v>
      </c>
      <c r="CA52" s="195">
        <f>ROUND((B52/(CE76+CF76)*CA76),0)</f>
        <v>32653</v>
      </c>
      <c r="CB52" s="195">
        <f>ROUND((B52/(CE76+CF76)*CB76),0)</f>
        <v>0</v>
      </c>
      <c r="CC52" s="195">
        <f>ROUND((B52/(CE76+CF76)*CC76),0)</f>
        <v>180435</v>
      </c>
      <c r="CD52" s="195"/>
      <c r="CE52" s="195">
        <f>SUM(C52:CD52)</f>
        <v>5836796</v>
      </c>
    </row>
    <row r="53" spans="1:84" ht="12.6" customHeight="1" x14ac:dyDescent="0.25">
      <c r="A53" s="175" t="s">
        <v>206</v>
      </c>
      <c r="B53" s="195">
        <f>B51+B52</f>
        <v>6663533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899</v>
      </c>
      <c r="D59" s="184"/>
      <c r="E59" s="184">
        <f>2709+582</f>
        <v>3291</v>
      </c>
      <c r="F59" s="184"/>
      <c r="G59" s="184"/>
      <c r="H59" s="184"/>
      <c r="I59" s="184"/>
      <c r="J59" s="184">
        <v>582</v>
      </c>
      <c r="K59" s="184"/>
      <c r="L59" s="184"/>
      <c r="M59" s="184"/>
      <c r="N59" s="184"/>
      <c r="O59" s="184">
        <v>747</v>
      </c>
      <c r="P59" s="185">
        <v>109409</v>
      </c>
      <c r="Q59" s="185">
        <v>117610</v>
      </c>
      <c r="R59" s="185">
        <v>109409</v>
      </c>
      <c r="S59" s="248"/>
      <c r="T59" s="248"/>
      <c r="U59" s="224">
        <v>204576</v>
      </c>
      <c r="V59" s="185"/>
      <c r="W59" s="185">
        <v>1833</v>
      </c>
      <c r="X59" s="185">
        <v>26503</v>
      </c>
      <c r="Y59" s="185">
        <v>36371</v>
      </c>
      <c r="Z59" s="185"/>
      <c r="AA59" s="185"/>
      <c r="AB59" s="248"/>
      <c r="AC59" s="185">
        <v>6206</v>
      </c>
      <c r="AD59" s="185"/>
      <c r="AE59" s="185">
        <v>22498</v>
      </c>
      <c r="AF59" s="185"/>
      <c r="AG59" s="185">
        <v>19855</v>
      </c>
      <c r="AH59" s="185"/>
      <c r="AI59" s="185"/>
      <c r="AJ59" s="185"/>
      <c r="AK59" s="185"/>
      <c r="AL59" s="185"/>
      <c r="AM59" s="185"/>
      <c r="AN59" s="185"/>
      <c r="AO59" s="185"/>
      <c r="AP59" s="185">
        <v>85586</v>
      </c>
      <c r="AQ59" s="185"/>
      <c r="AR59" s="185"/>
      <c r="AS59" s="185"/>
      <c r="AT59" s="185"/>
      <c r="AU59" s="185"/>
      <c r="AV59" s="248"/>
      <c r="AW59" s="248"/>
      <c r="AX59" s="248"/>
      <c r="AY59" s="185">
        <v>28442</v>
      </c>
      <c r="AZ59" s="185"/>
      <c r="BA59" s="248"/>
      <c r="BB59" s="248"/>
      <c r="BC59" s="248"/>
      <c r="BD59" s="248"/>
      <c r="BE59" s="185">
        <f>121662+3069.5+242+238.2+316.3+637+144+2884.8+1046+1066.1+3373.6+1650+40+1317+112+886+1539+1347+2734+2734+2038+4297+3686+6393.4+1642+2734.5+254.5+17668.6+1475+1157-1408</f>
        <v>186976.5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18.5</v>
      </c>
      <c r="D60" s="187"/>
      <c r="E60" s="187">
        <f>29.27+16.28+3.48</f>
        <v>49.029999999999994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f>14.19+1.98+1.97+1.27</f>
        <v>19.409999999999997</v>
      </c>
      <c r="Q60" s="221">
        <v>13.47</v>
      </c>
      <c r="R60" s="221">
        <v>5.2</v>
      </c>
      <c r="S60" s="221"/>
      <c r="T60" s="221"/>
      <c r="U60" s="221">
        <f>26.11</f>
        <v>26.11</v>
      </c>
      <c r="V60" s="221"/>
      <c r="W60" s="221">
        <v>1.61</v>
      </c>
      <c r="X60" s="221">
        <v>4.0199999999999996</v>
      </c>
      <c r="Y60" s="221">
        <f>16.1+5.27</f>
        <v>21.37</v>
      </c>
      <c r="Z60" s="221"/>
      <c r="AA60" s="221">
        <v>1.01</v>
      </c>
      <c r="AB60" s="221">
        <f>11.54+2.7</f>
        <v>14.239999999999998</v>
      </c>
      <c r="AC60" s="221">
        <v>8.99</v>
      </c>
      <c r="AD60" s="221"/>
      <c r="AE60" s="221">
        <v>20.170000000000002</v>
      </c>
      <c r="AF60" s="221"/>
      <c r="AG60" s="221">
        <v>28.26</v>
      </c>
      <c r="AH60" s="221"/>
      <c r="AI60" s="221"/>
      <c r="AJ60" s="221"/>
      <c r="AK60" s="221"/>
      <c r="AL60" s="221"/>
      <c r="AM60" s="221"/>
      <c r="AN60" s="221"/>
      <c r="AO60" s="221"/>
      <c r="AP60" s="221">
        <f>12.82+6.4+4.33+6.92+48.12+12.24+6.45+7.19+36.39+5.44</f>
        <v>146.30000000000001</v>
      </c>
      <c r="AQ60" s="221"/>
      <c r="AR60" s="221"/>
      <c r="AS60" s="221"/>
      <c r="AT60" s="221"/>
      <c r="AU60" s="221"/>
      <c r="AV60" s="221">
        <f>3.16</f>
        <v>3.16</v>
      </c>
      <c r="AW60" s="221"/>
      <c r="AX60" s="221"/>
      <c r="AY60" s="221">
        <v>16.55</v>
      </c>
      <c r="AZ60" s="221"/>
      <c r="BA60" s="221">
        <v>1.49</v>
      </c>
      <c r="BB60" s="221"/>
      <c r="BC60" s="221"/>
      <c r="BD60" s="221">
        <f>5.7</f>
        <v>5.7</v>
      </c>
      <c r="BE60" s="221">
        <v>11.54</v>
      </c>
      <c r="BF60" s="221">
        <v>23.93</v>
      </c>
      <c r="BG60" s="221"/>
      <c r="BH60" s="221">
        <f>5.79</f>
        <v>5.79</v>
      </c>
      <c r="BI60" s="221"/>
      <c r="BJ60" s="221">
        <v>6.41</v>
      </c>
      <c r="BK60" s="221">
        <v>21.86</v>
      </c>
      <c r="BL60" s="221">
        <v>22.97</v>
      </c>
      <c r="BM60" s="221"/>
      <c r="BN60" s="221">
        <f>12.13</f>
        <v>12.13</v>
      </c>
      <c r="BO60" s="221">
        <v>2.0099999999999998</v>
      </c>
      <c r="BP60" s="221"/>
      <c r="BQ60" s="221"/>
      <c r="BR60" s="221">
        <f>3.67+0.59</f>
        <v>4.26</v>
      </c>
      <c r="BS60" s="221"/>
      <c r="BT60" s="221"/>
      <c r="BU60" s="221"/>
      <c r="BV60" s="221">
        <v>20.78</v>
      </c>
      <c r="BW60" s="221">
        <v>2</v>
      </c>
      <c r="BX60" s="221"/>
      <c r="BY60" s="221">
        <f>6.85+10.22+0.08+10.41</f>
        <v>27.56</v>
      </c>
      <c r="BZ60" s="221"/>
      <c r="CA60" s="221">
        <f>2.23</f>
        <v>2.23</v>
      </c>
      <c r="CB60" s="221"/>
      <c r="CC60" s="221">
        <f>1+2.66+1.43+2.81+1.83</f>
        <v>9.73</v>
      </c>
      <c r="CD60" s="249" t="s">
        <v>221</v>
      </c>
      <c r="CE60" s="251">
        <f t="shared" ref="CE60:CE70" si="0">SUM(C60:CD60)</f>
        <v>577.79000000000008</v>
      </c>
    </row>
    <row r="61" spans="1:84" ht="12.6" customHeight="1" x14ac:dyDescent="0.25">
      <c r="A61" s="171" t="s">
        <v>235</v>
      </c>
      <c r="B61" s="175"/>
      <c r="C61" s="184">
        <v>1824438</v>
      </c>
      <c r="D61" s="184"/>
      <c r="E61" s="184">
        <v>4887238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0</v>
      </c>
      <c r="P61" s="185">
        <v>1404480</v>
      </c>
      <c r="Q61" s="185">
        <v>1158389</v>
      </c>
      <c r="R61" s="185">
        <v>916014</v>
      </c>
      <c r="S61" s="185"/>
      <c r="T61" s="185"/>
      <c r="U61" s="185">
        <v>1693842</v>
      </c>
      <c r="V61" s="185"/>
      <c r="W61" s="185">
        <v>162160</v>
      </c>
      <c r="X61" s="185">
        <v>405120</v>
      </c>
      <c r="Y61" s="185">
        <f>1745932</f>
        <v>1745932</v>
      </c>
      <c r="Z61" s="185"/>
      <c r="AA61" s="185">
        <v>101250</v>
      </c>
      <c r="AB61" s="185">
        <v>1468528</v>
      </c>
      <c r="AC61" s="185">
        <v>779345</v>
      </c>
      <c r="AD61" s="185"/>
      <c r="AE61" s="185">
        <v>1552220</v>
      </c>
      <c r="AF61" s="185"/>
      <c r="AG61" s="185">
        <v>2462978</v>
      </c>
      <c r="AH61" s="185"/>
      <c r="AI61" s="185"/>
      <c r="AJ61" s="185"/>
      <c r="AK61" s="185"/>
      <c r="AL61" s="185"/>
      <c r="AM61" s="185"/>
      <c r="AN61" s="185"/>
      <c r="AO61" s="185"/>
      <c r="AP61" s="185">
        <v>14403966</v>
      </c>
      <c r="AQ61" s="185"/>
      <c r="AR61" s="185"/>
      <c r="AS61" s="185"/>
      <c r="AT61" s="185"/>
      <c r="AU61" s="185"/>
      <c r="AV61" s="185">
        <v>261978</v>
      </c>
      <c r="AW61" s="185"/>
      <c r="AX61" s="185"/>
      <c r="AY61" s="185">
        <v>697896</v>
      </c>
      <c r="AZ61" s="185"/>
      <c r="BA61" s="185">
        <v>55745</v>
      </c>
      <c r="BB61" s="185"/>
      <c r="BC61" s="185"/>
      <c r="BD61" s="185">
        <v>311381</v>
      </c>
      <c r="BE61" s="185">
        <v>834715</v>
      </c>
      <c r="BF61" s="185">
        <v>966825</v>
      </c>
      <c r="BG61" s="185"/>
      <c r="BH61" s="185">
        <v>462384</v>
      </c>
      <c r="BI61" s="185"/>
      <c r="BJ61" s="185">
        <v>458662</v>
      </c>
      <c r="BK61" s="185">
        <v>1143042</v>
      </c>
      <c r="BL61" s="185">
        <v>1020513</v>
      </c>
      <c r="BM61" s="185"/>
      <c r="BN61" s="185">
        <v>2487265</v>
      </c>
      <c r="BO61" s="185">
        <v>152431</v>
      </c>
      <c r="BP61" s="185"/>
      <c r="BQ61" s="185"/>
      <c r="BR61" s="185">
        <v>317860</v>
      </c>
      <c r="BS61" s="185"/>
      <c r="BT61" s="185"/>
      <c r="BU61" s="185"/>
      <c r="BV61" s="185">
        <v>1116065</v>
      </c>
      <c r="BW61" s="185">
        <v>141222</v>
      </c>
      <c r="BX61" s="185"/>
      <c r="BY61" s="185">
        <v>2633851</v>
      </c>
      <c r="BZ61" s="185"/>
      <c r="CA61" s="185">
        <v>199041</v>
      </c>
      <c r="CB61" s="185"/>
      <c r="CC61" s="185">
        <f>571020-3</f>
        <v>571017</v>
      </c>
      <c r="CD61" s="249" t="s">
        <v>221</v>
      </c>
      <c r="CE61" s="195">
        <f t="shared" si="0"/>
        <v>48797793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485665</v>
      </c>
      <c r="D62" s="195">
        <f t="shared" si="1"/>
        <v>0</v>
      </c>
      <c r="E62" s="195">
        <f t="shared" si="1"/>
        <v>1264561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450108</v>
      </c>
      <c r="Q62" s="195">
        <f t="shared" si="1"/>
        <v>350396</v>
      </c>
      <c r="R62" s="195">
        <f t="shared" si="1"/>
        <v>206085</v>
      </c>
      <c r="S62" s="195">
        <f t="shared" si="1"/>
        <v>0</v>
      </c>
      <c r="T62" s="195">
        <f t="shared" si="1"/>
        <v>0</v>
      </c>
      <c r="U62" s="195">
        <f t="shared" si="1"/>
        <v>475178</v>
      </c>
      <c r="V62" s="195">
        <f t="shared" si="1"/>
        <v>0</v>
      </c>
      <c r="W62" s="195">
        <f t="shared" si="1"/>
        <v>55186</v>
      </c>
      <c r="X62" s="195">
        <f t="shared" si="1"/>
        <v>110347</v>
      </c>
      <c r="Y62" s="195">
        <f t="shared" si="1"/>
        <v>489542</v>
      </c>
      <c r="Z62" s="195">
        <f t="shared" si="1"/>
        <v>0</v>
      </c>
      <c r="AA62" s="195">
        <f t="shared" si="1"/>
        <v>28331</v>
      </c>
      <c r="AB62" s="195">
        <f t="shared" si="1"/>
        <v>406806</v>
      </c>
      <c r="AC62" s="195">
        <f t="shared" si="1"/>
        <v>247454</v>
      </c>
      <c r="AD62" s="195">
        <f t="shared" si="1"/>
        <v>0</v>
      </c>
      <c r="AE62" s="195">
        <f t="shared" si="1"/>
        <v>400265</v>
      </c>
      <c r="AF62" s="195">
        <f t="shared" si="1"/>
        <v>0</v>
      </c>
      <c r="AG62" s="195">
        <f t="shared" si="1"/>
        <v>579279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3594259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78870</v>
      </c>
      <c r="AW62" s="195">
        <f t="shared" si="1"/>
        <v>0</v>
      </c>
      <c r="AX62" s="195">
        <f t="shared" si="1"/>
        <v>0</v>
      </c>
      <c r="AY62" s="195">
        <f>ROUND(AY47+AY48,0)</f>
        <v>298567</v>
      </c>
      <c r="AZ62" s="195">
        <f>ROUND(AZ47+AZ48,0)</f>
        <v>0</v>
      </c>
      <c r="BA62" s="195">
        <f>ROUND(BA47+BA48,0)</f>
        <v>32332</v>
      </c>
      <c r="BB62" s="195">
        <f t="shared" si="1"/>
        <v>0</v>
      </c>
      <c r="BC62" s="195">
        <f t="shared" si="1"/>
        <v>0</v>
      </c>
      <c r="BD62" s="195">
        <f t="shared" si="1"/>
        <v>97486</v>
      </c>
      <c r="BE62" s="195">
        <f t="shared" si="1"/>
        <v>262940</v>
      </c>
      <c r="BF62" s="195">
        <f t="shared" si="1"/>
        <v>349985</v>
      </c>
      <c r="BG62" s="195">
        <f t="shared" si="1"/>
        <v>0</v>
      </c>
      <c r="BH62" s="195">
        <f t="shared" si="1"/>
        <v>141616</v>
      </c>
      <c r="BI62" s="195">
        <f t="shared" si="1"/>
        <v>0</v>
      </c>
      <c r="BJ62" s="195">
        <f t="shared" si="1"/>
        <v>130910</v>
      </c>
      <c r="BK62" s="195">
        <f t="shared" si="1"/>
        <v>410145</v>
      </c>
      <c r="BL62" s="195">
        <f t="shared" si="1"/>
        <v>389536</v>
      </c>
      <c r="BM62" s="195">
        <f t="shared" si="1"/>
        <v>0</v>
      </c>
      <c r="BN62" s="195">
        <f t="shared" si="1"/>
        <v>555727</v>
      </c>
      <c r="BO62" s="195">
        <f t="shared" ref="BO62:CC62" si="2">ROUND(BO47+BO48,0)</f>
        <v>50160</v>
      </c>
      <c r="BP62" s="195">
        <f t="shared" si="2"/>
        <v>0</v>
      </c>
      <c r="BQ62" s="195">
        <f t="shared" si="2"/>
        <v>0</v>
      </c>
      <c r="BR62" s="195">
        <f t="shared" si="2"/>
        <v>74852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422125</v>
      </c>
      <c r="BW62" s="195">
        <f t="shared" si="2"/>
        <v>44169</v>
      </c>
      <c r="BX62" s="195">
        <f t="shared" si="2"/>
        <v>0</v>
      </c>
      <c r="BY62" s="195">
        <f t="shared" si="2"/>
        <v>741653</v>
      </c>
      <c r="BZ62" s="195">
        <f t="shared" si="2"/>
        <v>0</v>
      </c>
      <c r="CA62" s="195">
        <f t="shared" si="2"/>
        <v>58108</v>
      </c>
      <c r="CB62" s="195">
        <f t="shared" si="2"/>
        <v>0</v>
      </c>
      <c r="CC62" s="195">
        <f t="shared" si="2"/>
        <v>177465</v>
      </c>
      <c r="CD62" s="249" t="s">
        <v>221</v>
      </c>
      <c r="CE62" s="195">
        <f t="shared" si="0"/>
        <v>13460108</v>
      </c>
      <c r="CF62" s="252"/>
    </row>
    <row r="63" spans="1:84" ht="12.6" customHeight="1" x14ac:dyDescent="0.25">
      <c r="A63" s="171" t="s">
        <v>236</v>
      </c>
      <c r="B63" s="175"/>
      <c r="C63" s="184">
        <v>101915</v>
      </c>
      <c r="D63" s="184"/>
      <c r="E63" s="184">
        <v>100097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31429</v>
      </c>
      <c r="Q63" s="185"/>
      <c r="R63" s="185">
        <v>1040</v>
      </c>
      <c r="S63" s="185"/>
      <c r="T63" s="185"/>
      <c r="U63" s="185">
        <v>8145</v>
      </c>
      <c r="V63" s="185"/>
      <c r="W63" s="185">
        <v>0</v>
      </c>
      <c r="X63" s="185">
        <v>0</v>
      </c>
      <c r="Y63" s="185"/>
      <c r="Z63" s="185"/>
      <c r="AA63" s="185">
        <v>0</v>
      </c>
      <c r="AB63" s="185">
        <v>0</v>
      </c>
      <c r="AC63" s="185">
        <v>0</v>
      </c>
      <c r="AD63" s="185"/>
      <c r="AE63" s="185">
        <v>65392</v>
      </c>
      <c r="AF63" s="185"/>
      <c r="AG63" s="185">
        <v>2761051</v>
      </c>
      <c r="AH63" s="185"/>
      <c r="AI63" s="185"/>
      <c r="AJ63" s="185"/>
      <c r="AK63" s="185"/>
      <c r="AL63" s="185"/>
      <c r="AM63" s="185"/>
      <c r="AN63" s="185"/>
      <c r="AO63" s="185"/>
      <c r="AP63" s="185">
        <v>1059947</v>
      </c>
      <c r="AQ63" s="185"/>
      <c r="AR63" s="185"/>
      <c r="AS63" s="185"/>
      <c r="AT63" s="185"/>
      <c r="AU63" s="185"/>
      <c r="AV63" s="185"/>
      <c r="AW63" s="185"/>
      <c r="AX63" s="185"/>
      <c r="AY63" s="185">
        <v>0</v>
      </c>
      <c r="AZ63" s="185"/>
      <c r="BA63" s="185">
        <v>0</v>
      </c>
      <c r="BB63" s="185"/>
      <c r="BC63" s="185"/>
      <c r="BD63" s="185">
        <v>0</v>
      </c>
      <c r="BE63" s="185">
        <v>0</v>
      </c>
      <c r="BF63" s="185">
        <v>0</v>
      </c>
      <c r="BG63" s="185"/>
      <c r="BH63" s="185">
        <v>0</v>
      </c>
      <c r="BI63" s="185"/>
      <c r="BJ63" s="185">
        <v>0</v>
      </c>
      <c r="BK63" s="185">
        <v>189</v>
      </c>
      <c r="BL63" s="185">
        <v>0</v>
      </c>
      <c r="BM63" s="185"/>
      <c r="BN63" s="185">
        <v>164800</v>
      </c>
      <c r="BO63" s="185">
        <v>0</v>
      </c>
      <c r="BP63" s="185">
        <v>0</v>
      </c>
      <c r="BQ63" s="185"/>
      <c r="BR63" s="185">
        <v>0</v>
      </c>
      <c r="BS63" s="185"/>
      <c r="BT63" s="185"/>
      <c r="BU63" s="185"/>
      <c r="BV63" s="185">
        <v>0</v>
      </c>
      <c r="BW63" s="185">
        <v>6800</v>
      </c>
      <c r="BX63" s="185"/>
      <c r="BY63" s="185"/>
      <c r="BZ63" s="185"/>
      <c r="CA63" s="185">
        <v>0</v>
      </c>
      <c r="CB63" s="185"/>
      <c r="CC63" s="185"/>
      <c r="CD63" s="249" t="s">
        <v>221</v>
      </c>
      <c r="CE63" s="195">
        <f t="shared" si="0"/>
        <v>4300805</v>
      </c>
      <c r="CF63" s="252"/>
    </row>
    <row r="64" spans="1:84" ht="12.6" customHeight="1" x14ac:dyDescent="0.25">
      <c r="A64" s="171" t="s">
        <v>237</v>
      </c>
      <c r="B64" s="175"/>
      <c r="C64" s="184">
        <v>147711</v>
      </c>
      <c r="D64" s="184"/>
      <c r="E64" s="184">
        <v>138744</v>
      </c>
      <c r="F64" s="185"/>
      <c r="G64" s="184"/>
      <c r="H64" s="184"/>
      <c r="I64" s="185"/>
      <c r="J64" s="185">
        <v>24966</v>
      </c>
      <c r="K64" s="185"/>
      <c r="L64" s="185"/>
      <c r="M64" s="184"/>
      <c r="N64" s="184"/>
      <c r="O64" s="184">
        <v>57725</v>
      </c>
      <c r="P64" s="185">
        <v>655273</v>
      </c>
      <c r="Q64" s="185">
        <v>90810</v>
      </c>
      <c r="R64" s="185">
        <v>62908</v>
      </c>
      <c r="S64" s="185">
        <v>3620942</v>
      </c>
      <c r="T64" s="185"/>
      <c r="U64" s="185">
        <v>1467300</v>
      </c>
      <c r="V64" s="185"/>
      <c r="W64" s="185">
        <v>14363</v>
      </c>
      <c r="X64" s="185">
        <v>96402</v>
      </c>
      <c r="Y64" s="185">
        <v>110464</v>
      </c>
      <c r="Z64" s="185"/>
      <c r="AA64" s="185">
        <v>31128</v>
      </c>
      <c r="AB64" s="185">
        <v>2431817</v>
      </c>
      <c r="AC64" s="185">
        <v>48081</v>
      </c>
      <c r="AD64" s="185"/>
      <c r="AE64" s="185">
        <v>36510</v>
      </c>
      <c r="AF64" s="185"/>
      <c r="AG64" s="185">
        <v>272309</v>
      </c>
      <c r="AH64" s="185"/>
      <c r="AI64" s="185"/>
      <c r="AJ64" s="185"/>
      <c r="AK64" s="185"/>
      <c r="AL64" s="185"/>
      <c r="AM64" s="185"/>
      <c r="AN64" s="185"/>
      <c r="AO64" s="185"/>
      <c r="AP64" s="185">
        <v>845062</v>
      </c>
      <c r="AQ64" s="185"/>
      <c r="AR64" s="185"/>
      <c r="AS64" s="185"/>
      <c r="AT64" s="185"/>
      <c r="AU64" s="185"/>
      <c r="AV64" s="185">
        <v>4111</v>
      </c>
      <c r="AW64" s="185"/>
      <c r="AX64" s="185"/>
      <c r="AY64" s="185">
        <v>719900</v>
      </c>
      <c r="AZ64" s="185"/>
      <c r="BA64" s="185">
        <v>60812</v>
      </c>
      <c r="BB64" s="185"/>
      <c r="BC64" s="185"/>
      <c r="BD64" s="185">
        <v>30565</v>
      </c>
      <c r="BE64" s="185">
        <v>90554</v>
      </c>
      <c r="BF64" s="185">
        <v>149365</v>
      </c>
      <c r="BG64" s="185"/>
      <c r="BH64" s="185">
        <v>432304</v>
      </c>
      <c r="BI64" s="185"/>
      <c r="BJ64" s="185">
        <v>5251</v>
      </c>
      <c r="BK64" s="185">
        <v>9834</v>
      </c>
      <c r="BL64" s="185">
        <v>15461</v>
      </c>
      <c r="BM64" s="185"/>
      <c r="BN64" s="185">
        <v>68760</v>
      </c>
      <c r="BO64" s="185">
        <v>14958</v>
      </c>
      <c r="BP64" s="185">
        <v>1932</v>
      </c>
      <c r="BQ64" s="185"/>
      <c r="BR64" s="185">
        <v>33661</v>
      </c>
      <c r="BS64" s="185"/>
      <c r="BT64" s="185"/>
      <c r="BU64" s="185"/>
      <c r="BV64" s="185">
        <v>11894</v>
      </c>
      <c r="BW64" s="185">
        <v>5139</v>
      </c>
      <c r="BX64" s="185"/>
      <c r="BY64" s="185">
        <v>8887</v>
      </c>
      <c r="BZ64" s="185"/>
      <c r="CA64" s="185">
        <v>5996</v>
      </c>
      <c r="CB64" s="185"/>
      <c r="CC64" s="185">
        <f>32230+1167</f>
        <v>33397</v>
      </c>
      <c r="CD64" s="249" t="s">
        <v>221</v>
      </c>
      <c r="CE64" s="195">
        <f t="shared" si="0"/>
        <v>11855296</v>
      </c>
      <c r="CF64" s="252"/>
    </row>
    <row r="65" spans="1:84" ht="12.6" customHeight="1" x14ac:dyDescent="0.25">
      <c r="A65" s="171" t="s">
        <v>238</v>
      </c>
      <c r="B65" s="175"/>
      <c r="C65" s="184">
        <v>1852</v>
      </c>
      <c r="D65" s="184"/>
      <c r="E65" s="184">
        <v>1389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0</v>
      </c>
      <c r="P65" s="185"/>
      <c r="Q65" s="185">
        <v>0</v>
      </c>
      <c r="R65" s="185">
        <v>0</v>
      </c>
      <c r="S65" s="185"/>
      <c r="T65" s="185"/>
      <c r="U65" s="185">
        <v>970</v>
      </c>
      <c r="V65" s="185"/>
      <c r="W65" s="185">
        <v>0</v>
      </c>
      <c r="X65" s="185">
        <v>0</v>
      </c>
      <c r="Y65" s="185">
        <v>695</v>
      </c>
      <c r="Z65" s="185"/>
      <c r="AA65" s="185">
        <v>0</v>
      </c>
      <c r="AB65" s="185">
        <v>0</v>
      </c>
      <c r="AC65" s="185">
        <v>0</v>
      </c>
      <c r="AD65" s="185"/>
      <c r="AE65" s="185">
        <v>0</v>
      </c>
      <c r="AF65" s="185"/>
      <c r="AG65" s="185">
        <v>0</v>
      </c>
      <c r="AH65" s="185"/>
      <c r="AI65" s="185"/>
      <c r="AJ65" s="185"/>
      <c r="AK65" s="185"/>
      <c r="AL65" s="185"/>
      <c r="AM65" s="185"/>
      <c r="AN65" s="185"/>
      <c r="AO65" s="185"/>
      <c r="AP65" s="185">
        <v>54649</v>
      </c>
      <c r="AQ65" s="185"/>
      <c r="AR65" s="185"/>
      <c r="AS65" s="185"/>
      <c r="AT65" s="185"/>
      <c r="AU65" s="185"/>
      <c r="AV65" s="185"/>
      <c r="AW65" s="185"/>
      <c r="AX65" s="185"/>
      <c r="AY65" s="185">
        <v>0</v>
      </c>
      <c r="AZ65" s="185"/>
      <c r="BA65" s="185">
        <v>0</v>
      </c>
      <c r="BB65" s="185"/>
      <c r="BC65" s="185"/>
      <c r="BD65" s="185">
        <v>1352</v>
      </c>
      <c r="BE65" s="185">
        <v>649624</v>
      </c>
      <c r="BF65" s="185">
        <v>122094</v>
      </c>
      <c r="BG65" s="185"/>
      <c r="BH65" s="185">
        <v>177769</v>
      </c>
      <c r="BI65" s="185"/>
      <c r="BJ65" s="185">
        <v>0</v>
      </c>
      <c r="BK65" s="185">
        <v>0</v>
      </c>
      <c r="BL65" s="185">
        <v>0</v>
      </c>
      <c r="BM65" s="185"/>
      <c r="BN65" s="185">
        <v>1871</v>
      </c>
      <c r="BO65" s="185">
        <v>1356</v>
      </c>
      <c r="BP65" s="185">
        <v>0</v>
      </c>
      <c r="BQ65" s="185"/>
      <c r="BR65" s="185">
        <v>0</v>
      </c>
      <c r="BS65" s="185"/>
      <c r="BT65" s="185"/>
      <c r="BU65" s="185"/>
      <c r="BV65" s="185">
        <v>4597</v>
      </c>
      <c r="BW65" s="185">
        <v>0</v>
      </c>
      <c r="BX65" s="185"/>
      <c r="BY65" s="185">
        <v>10966</v>
      </c>
      <c r="BZ65" s="185"/>
      <c r="CA65" s="185">
        <v>696</v>
      </c>
      <c r="CB65" s="185"/>
      <c r="CC65" s="185">
        <v>4090</v>
      </c>
      <c r="CD65" s="249" t="s">
        <v>221</v>
      </c>
      <c r="CE65" s="195">
        <f t="shared" si="0"/>
        <v>1033970</v>
      </c>
      <c r="CF65" s="252"/>
    </row>
    <row r="66" spans="1:84" ht="12.6" customHeight="1" x14ac:dyDescent="0.25">
      <c r="A66" s="171" t="s">
        <v>239</v>
      </c>
      <c r="B66" s="175"/>
      <c r="C66" s="184">
        <v>8557</v>
      </c>
      <c r="D66" s="184"/>
      <c r="E66" s="184">
        <v>427347</v>
      </c>
      <c r="F66" s="184"/>
      <c r="G66" s="184"/>
      <c r="H66" s="184"/>
      <c r="I66" s="184"/>
      <c r="J66" s="184">
        <v>3506</v>
      </c>
      <c r="K66" s="185"/>
      <c r="L66" s="185"/>
      <c r="M66" s="184"/>
      <c r="N66" s="184"/>
      <c r="O66" s="185">
        <v>19404</v>
      </c>
      <c r="P66" s="185">
        <v>182002</v>
      </c>
      <c r="Q66" s="185">
        <v>4675</v>
      </c>
      <c r="R66" s="185">
        <v>62643</v>
      </c>
      <c r="S66" s="184">
        <v>0</v>
      </c>
      <c r="T66" s="184"/>
      <c r="U66" s="185">
        <v>831247</v>
      </c>
      <c r="V66" s="185"/>
      <c r="W66" s="185">
        <v>148629</v>
      </c>
      <c r="X66" s="185">
        <v>138183</v>
      </c>
      <c r="Y66" s="185">
        <v>543080</v>
      </c>
      <c r="Z66" s="185"/>
      <c r="AA66" s="185">
        <v>25486</v>
      </c>
      <c r="AB66" s="185">
        <v>318226</v>
      </c>
      <c r="AC66" s="185">
        <v>29083</v>
      </c>
      <c r="AD66" s="185"/>
      <c r="AE66" s="185">
        <v>19158</v>
      </c>
      <c r="AF66" s="185"/>
      <c r="AG66" s="185">
        <v>21468</v>
      </c>
      <c r="AH66" s="185"/>
      <c r="AI66" s="185"/>
      <c r="AJ66" s="185"/>
      <c r="AK66" s="185"/>
      <c r="AL66" s="185"/>
      <c r="AM66" s="185"/>
      <c r="AN66" s="185"/>
      <c r="AO66" s="185"/>
      <c r="AP66" s="185">
        <v>274110</v>
      </c>
      <c r="AQ66" s="185"/>
      <c r="AR66" s="185"/>
      <c r="AS66" s="185"/>
      <c r="AT66" s="185"/>
      <c r="AU66" s="185"/>
      <c r="AV66" s="185">
        <v>4153</v>
      </c>
      <c r="AW66" s="185"/>
      <c r="AX66" s="185"/>
      <c r="AY66" s="185">
        <v>15983</v>
      </c>
      <c r="AZ66" s="185"/>
      <c r="BA66" s="185">
        <v>141240</v>
      </c>
      <c r="BB66" s="185"/>
      <c r="BC66" s="185"/>
      <c r="BD66" s="185">
        <v>211</v>
      </c>
      <c r="BE66" s="185">
        <v>363089</v>
      </c>
      <c r="BF66" s="185">
        <v>70980</v>
      </c>
      <c r="BG66" s="185"/>
      <c r="BH66" s="185">
        <v>3679873</v>
      </c>
      <c r="BI66" s="185"/>
      <c r="BJ66" s="185">
        <v>23125</v>
      </c>
      <c r="BK66" s="185">
        <v>173669</v>
      </c>
      <c r="BL66" s="185">
        <v>38515</v>
      </c>
      <c r="BM66" s="185"/>
      <c r="BN66" s="185">
        <v>683693</v>
      </c>
      <c r="BO66" s="185">
        <v>41391</v>
      </c>
      <c r="BP66" s="185">
        <v>218322</v>
      </c>
      <c r="BQ66" s="185"/>
      <c r="BR66" s="185">
        <v>152160</v>
      </c>
      <c r="BS66" s="185"/>
      <c r="BT66" s="185"/>
      <c r="BU66" s="185"/>
      <c r="BV66" s="185">
        <v>397607</v>
      </c>
      <c r="BW66" s="185">
        <v>11534</v>
      </c>
      <c r="BX66" s="185"/>
      <c r="BY66" s="185">
        <v>230607</v>
      </c>
      <c r="BZ66" s="185"/>
      <c r="CA66" s="185">
        <v>19761</v>
      </c>
      <c r="CB66" s="185"/>
      <c r="CC66" s="185">
        <v>140114</v>
      </c>
      <c r="CD66" s="249" t="s">
        <v>221</v>
      </c>
      <c r="CE66" s="195">
        <f t="shared" si="0"/>
        <v>9462831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203212</v>
      </c>
      <c r="D67" s="195">
        <f>ROUND(D51+D52,0)</f>
        <v>0</v>
      </c>
      <c r="E67" s="195">
        <f t="shared" ref="E67:BP67" si="3">ROUND(E51+E52,0)</f>
        <v>600265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15028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30394</v>
      </c>
      <c r="P67" s="195">
        <f t="shared" si="3"/>
        <v>204689</v>
      </c>
      <c r="Q67" s="195">
        <f t="shared" si="3"/>
        <v>225944</v>
      </c>
      <c r="R67" s="195">
        <f t="shared" si="3"/>
        <v>9715</v>
      </c>
      <c r="S67" s="195">
        <f t="shared" si="3"/>
        <v>92607</v>
      </c>
      <c r="T67" s="195">
        <f t="shared" si="3"/>
        <v>0</v>
      </c>
      <c r="U67" s="195">
        <f t="shared" si="3"/>
        <v>129482</v>
      </c>
      <c r="V67" s="195">
        <f t="shared" si="3"/>
        <v>0</v>
      </c>
      <c r="W67" s="195">
        <f t="shared" si="3"/>
        <v>66639</v>
      </c>
      <c r="X67" s="195">
        <f t="shared" si="3"/>
        <v>24682</v>
      </c>
      <c r="Y67" s="195">
        <f t="shared" si="3"/>
        <v>166158</v>
      </c>
      <c r="Z67" s="195">
        <f t="shared" si="3"/>
        <v>0</v>
      </c>
      <c r="AA67" s="195">
        <f t="shared" si="3"/>
        <v>21517</v>
      </c>
      <c r="AB67" s="195">
        <f t="shared" si="3"/>
        <v>56662</v>
      </c>
      <c r="AC67" s="195">
        <f t="shared" si="3"/>
        <v>25113</v>
      </c>
      <c r="AD67" s="195">
        <f t="shared" si="3"/>
        <v>0</v>
      </c>
      <c r="AE67" s="195">
        <f t="shared" si="3"/>
        <v>121168</v>
      </c>
      <c r="AF67" s="195">
        <f t="shared" si="3"/>
        <v>0</v>
      </c>
      <c r="AG67" s="195">
        <f t="shared" si="3"/>
        <v>297518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2031842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8354</v>
      </c>
      <c r="AW67" s="195">
        <f t="shared" si="3"/>
        <v>0</v>
      </c>
      <c r="AX67" s="195">
        <f t="shared" si="3"/>
        <v>0</v>
      </c>
      <c r="AY67" s="195">
        <f t="shared" si="3"/>
        <v>157127</v>
      </c>
      <c r="AZ67" s="195">
        <f>ROUND(AZ51+AZ52,0)</f>
        <v>0</v>
      </c>
      <c r="BA67" s="195">
        <f>ROUND(BA51+BA52,0)</f>
        <v>45543</v>
      </c>
      <c r="BB67" s="195">
        <f t="shared" si="3"/>
        <v>0</v>
      </c>
      <c r="BC67" s="195">
        <f t="shared" si="3"/>
        <v>0</v>
      </c>
      <c r="BD67" s="195">
        <f t="shared" si="3"/>
        <v>106073</v>
      </c>
      <c r="BE67" s="195">
        <f t="shared" si="3"/>
        <v>772341</v>
      </c>
      <c r="BF67" s="195">
        <f t="shared" si="3"/>
        <v>66387</v>
      </c>
      <c r="BG67" s="195">
        <f t="shared" si="3"/>
        <v>0</v>
      </c>
      <c r="BH67" s="195">
        <f t="shared" si="3"/>
        <v>101483</v>
      </c>
      <c r="BI67" s="195">
        <f t="shared" si="3"/>
        <v>0</v>
      </c>
      <c r="BJ67" s="195">
        <f t="shared" si="3"/>
        <v>95820</v>
      </c>
      <c r="BK67" s="195">
        <f t="shared" si="3"/>
        <v>85362</v>
      </c>
      <c r="BL67" s="195">
        <f t="shared" si="3"/>
        <v>67356</v>
      </c>
      <c r="BM67" s="195">
        <f t="shared" si="3"/>
        <v>0</v>
      </c>
      <c r="BN67" s="195">
        <f t="shared" si="3"/>
        <v>139770</v>
      </c>
      <c r="BO67" s="195">
        <f t="shared" si="3"/>
        <v>9955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59145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131160</v>
      </c>
      <c r="BW67" s="195">
        <f t="shared" si="4"/>
        <v>31857</v>
      </c>
      <c r="BX67" s="195">
        <f t="shared" si="4"/>
        <v>0</v>
      </c>
      <c r="BY67" s="195">
        <f t="shared" si="4"/>
        <v>75715</v>
      </c>
      <c r="BZ67" s="195">
        <f t="shared" si="4"/>
        <v>0</v>
      </c>
      <c r="CA67" s="195">
        <f t="shared" si="4"/>
        <v>32653</v>
      </c>
      <c r="CB67" s="195">
        <f t="shared" si="4"/>
        <v>0</v>
      </c>
      <c r="CC67" s="195">
        <f t="shared" si="4"/>
        <v>180435</v>
      </c>
      <c r="CD67" s="249" t="s">
        <v>221</v>
      </c>
      <c r="CE67" s="195">
        <f t="shared" si="0"/>
        <v>6489171</v>
      </c>
      <c r="CF67" s="252"/>
    </row>
    <row r="68" spans="1:84" ht="12.6" customHeight="1" x14ac:dyDescent="0.25">
      <c r="A68" s="171" t="s">
        <v>240</v>
      </c>
      <c r="B68" s="175"/>
      <c r="C68" s="184">
        <v>3083</v>
      </c>
      <c r="D68" s="184"/>
      <c r="E68" s="184">
        <v>7707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3592</v>
      </c>
      <c r="P68" s="185">
        <v>191294</v>
      </c>
      <c r="Q68" s="185">
        <v>4699</v>
      </c>
      <c r="R68" s="185">
        <v>1568</v>
      </c>
      <c r="S68" s="185">
        <v>15654</v>
      </c>
      <c r="T68" s="185"/>
      <c r="U68" s="185">
        <v>13867</v>
      </c>
      <c r="V68" s="185"/>
      <c r="W68" s="185">
        <v>0</v>
      </c>
      <c r="X68" s="185">
        <v>0</v>
      </c>
      <c r="Y68" s="185">
        <v>7233</v>
      </c>
      <c r="Z68" s="185"/>
      <c r="AA68" s="185">
        <v>0</v>
      </c>
      <c r="AB68" s="185">
        <v>41</v>
      </c>
      <c r="AC68" s="185">
        <v>15372</v>
      </c>
      <c r="AD68" s="185"/>
      <c r="AE68" s="185">
        <v>7381</v>
      </c>
      <c r="AF68" s="185"/>
      <c r="AG68" s="185">
        <v>10575</v>
      </c>
      <c r="AH68" s="185"/>
      <c r="AI68" s="185"/>
      <c r="AJ68" s="185"/>
      <c r="AK68" s="185"/>
      <c r="AL68" s="185"/>
      <c r="AM68" s="185"/>
      <c r="AN68" s="185"/>
      <c r="AO68" s="185"/>
      <c r="AP68" s="185">
        <v>83038</v>
      </c>
      <c r="AQ68" s="185"/>
      <c r="AR68" s="185"/>
      <c r="AS68" s="185"/>
      <c r="AT68" s="185"/>
      <c r="AU68" s="185"/>
      <c r="AV68" s="185">
        <v>190</v>
      </c>
      <c r="AW68" s="185"/>
      <c r="AX68" s="185"/>
      <c r="AY68" s="185">
        <v>9711</v>
      </c>
      <c r="AZ68" s="185"/>
      <c r="BA68" s="185">
        <v>0</v>
      </c>
      <c r="BB68" s="185"/>
      <c r="BC68" s="185"/>
      <c r="BD68" s="185">
        <v>12470</v>
      </c>
      <c r="BE68" s="185">
        <v>35155</v>
      </c>
      <c r="BF68" s="185">
        <v>1666</v>
      </c>
      <c r="BG68" s="185"/>
      <c r="BH68" s="185">
        <v>57080</v>
      </c>
      <c r="BI68" s="185"/>
      <c r="BJ68" s="185">
        <v>26467</v>
      </c>
      <c r="BK68" s="185">
        <v>54302</v>
      </c>
      <c r="BL68" s="185">
        <v>8397</v>
      </c>
      <c r="BM68" s="185"/>
      <c r="BN68" s="185">
        <v>26431</v>
      </c>
      <c r="BO68" s="185">
        <v>2503</v>
      </c>
      <c r="BP68" s="185">
        <v>0</v>
      </c>
      <c r="BQ68" s="185"/>
      <c r="BR68" s="185">
        <v>8628</v>
      </c>
      <c r="BS68" s="185"/>
      <c r="BT68" s="185"/>
      <c r="BU68" s="185"/>
      <c r="BV68" s="185">
        <v>46236</v>
      </c>
      <c r="BW68" s="185">
        <v>257</v>
      </c>
      <c r="BX68" s="185"/>
      <c r="BY68" s="185">
        <v>8467</v>
      </c>
      <c r="BZ68" s="185"/>
      <c r="CA68" s="185">
        <v>21416</v>
      </c>
      <c r="CB68" s="185"/>
      <c r="CC68" s="185">
        <v>51342</v>
      </c>
      <c r="CD68" s="249" t="s">
        <v>221</v>
      </c>
      <c r="CE68" s="195">
        <f t="shared" si="0"/>
        <v>735822</v>
      </c>
      <c r="CF68" s="252"/>
    </row>
    <row r="69" spans="1:84" ht="12.6" customHeight="1" x14ac:dyDescent="0.25">
      <c r="A69" s="171" t="s">
        <v>241</v>
      </c>
      <c r="B69" s="175"/>
      <c r="C69" s="184">
        <v>452</v>
      </c>
      <c r="D69" s="184"/>
      <c r="E69" s="184">
        <f>57+4497+12482+8695</f>
        <v>25731</v>
      </c>
      <c r="F69" s="185"/>
      <c r="G69" s="184"/>
      <c r="H69" s="184"/>
      <c r="I69" s="185"/>
      <c r="J69" s="185">
        <v>2242</v>
      </c>
      <c r="K69" s="185"/>
      <c r="L69" s="185"/>
      <c r="M69" s="184"/>
      <c r="N69" s="184"/>
      <c r="O69" s="184">
        <v>3402</v>
      </c>
      <c r="P69" s="185">
        <f>2794+2669+1500+1099</f>
        <v>8062</v>
      </c>
      <c r="Q69" s="185">
        <v>3436</v>
      </c>
      <c r="R69" s="224">
        <f>12657+2544</f>
        <v>15201</v>
      </c>
      <c r="S69" s="185">
        <v>0</v>
      </c>
      <c r="T69" s="184"/>
      <c r="U69" s="185">
        <v>7086</v>
      </c>
      <c r="V69" s="185"/>
      <c r="W69" s="184">
        <v>2126</v>
      </c>
      <c r="X69" s="185">
        <v>1300</v>
      </c>
      <c r="Y69" s="185">
        <f>13672+224</f>
        <v>13896</v>
      </c>
      <c r="Z69" s="185"/>
      <c r="AA69" s="185">
        <v>6608</v>
      </c>
      <c r="AB69" s="185">
        <f>16016+847</f>
        <v>16863</v>
      </c>
      <c r="AC69" s="185">
        <v>194</v>
      </c>
      <c r="AD69" s="185"/>
      <c r="AE69" s="185">
        <v>12175</v>
      </c>
      <c r="AF69" s="185"/>
      <c r="AG69" s="185">
        <f>6733+4000+25116</f>
        <v>35849</v>
      </c>
      <c r="AH69" s="185"/>
      <c r="AI69" s="185"/>
      <c r="AJ69" s="185"/>
      <c r="AK69" s="185"/>
      <c r="AL69" s="185"/>
      <c r="AM69" s="185"/>
      <c r="AN69" s="185"/>
      <c r="AO69" s="184"/>
      <c r="AP69" s="185">
        <f>294587+174364</f>
        <v>468951</v>
      </c>
      <c r="AQ69" s="184"/>
      <c r="AR69" s="184"/>
      <c r="AS69" s="184"/>
      <c r="AT69" s="184"/>
      <c r="AU69" s="185"/>
      <c r="AV69" s="185">
        <v>6440</v>
      </c>
      <c r="AW69" s="185"/>
      <c r="AX69" s="185"/>
      <c r="AY69" s="185">
        <v>23</v>
      </c>
      <c r="AZ69" s="185"/>
      <c r="BA69" s="185">
        <v>0</v>
      </c>
      <c r="BB69" s="185"/>
      <c r="BC69" s="185"/>
      <c r="BD69" s="185">
        <v>24698</v>
      </c>
      <c r="BE69" s="185">
        <v>14303</v>
      </c>
      <c r="BF69" s="185">
        <v>19984</v>
      </c>
      <c r="BG69" s="185"/>
      <c r="BH69" s="224">
        <v>77664</v>
      </c>
      <c r="BI69" s="185"/>
      <c r="BJ69" s="185">
        <v>139683</v>
      </c>
      <c r="BK69" s="185">
        <v>15533</v>
      </c>
      <c r="BL69" s="185">
        <v>12509</v>
      </c>
      <c r="BM69" s="185"/>
      <c r="BN69" s="185">
        <f>539+305078+19128+90579</f>
        <v>415324</v>
      </c>
      <c r="BO69" s="185">
        <v>5204</v>
      </c>
      <c r="BP69" s="185">
        <v>67590</v>
      </c>
      <c r="BQ69" s="185"/>
      <c r="BR69" s="185">
        <v>164361</v>
      </c>
      <c r="BS69" s="185"/>
      <c r="BT69" s="185"/>
      <c r="BU69" s="185"/>
      <c r="BV69" s="185">
        <v>16594</v>
      </c>
      <c r="BW69" s="185">
        <v>55492</v>
      </c>
      <c r="BX69" s="185"/>
      <c r="BY69" s="185">
        <f>5751+10298+35+5206</f>
        <v>21290</v>
      </c>
      <c r="BZ69" s="185"/>
      <c r="CA69" s="185">
        <v>15605</v>
      </c>
      <c r="CB69" s="185"/>
      <c r="CC69" s="185">
        <f>117842+58+6990+3656+4898+3252+1412+138+47789+680308</f>
        <v>866343</v>
      </c>
      <c r="CD69" s="188">
        <f>410748+28234+891551+1800</f>
        <v>1332333</v>
      </c>
      <c r="CE69" s="195">
        <f t="shared" si="0"/>
        <v>3894547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0</v>
      </c>
      <c r="P70" s="184">
        <v>0</v>
      </c>
      <c r="Q70" s="184">
        <v>0</v>
      </c>
      <c r="R70" s="184">
        <v>1461556</v>
      </c>
      <c r="S70" s="184"/>
      <c r="T70" s="184"/>
      <c r="U70" s="185">
        <v>0</v>
      </c>
      <c r="V70" s="184"/>
      <c r="W70" s="184">
        <v>0</v>
      </c>
      <c r="X70" s="185">
        <v>0</v>
      </c>
      <c r="Y70" s="185">
        <v>0</v>
      </c>
      <c r="Z70" s="185"/>
      <c r="AA70" s="185">
        <v>0</v>
      </c>
      <c r="AB70" s="185">
        <f>1066436+47475+2813575+29493</f>
        <v>3956979</v>
      </c>
      <c r="AC70" s="185"/>
      <c r="AD70" s="185"/>
      <c r="AE70" s="185">
        <v>0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>
        <f>22123+9228+2126+9228+385+182+244+3870+543+425+375+1018+378</f>
        <v>50125</v>
      </c>
      <c r="AQ70" s="185"/>
      <c r="AR70" s="185"/>
      <c r="AS70" s="185"/>
      <c r="AT70" s="185"/>
      <c r="AU70" s="185"/>
      <c r="AV70" s="185">
        <f>20+1005</f>
        <v>1025</v>
      </c>
      <c r="AW70" s="185"/>
      <c r="AX70" s="185"/>
      <c r="AY70" s="185">
        <f>574813-34076+4832</f>
        <v>545569</v>
      </c>
      <c r="AZ70" s="185"/>
      <c r="BA70" s="185">
        <v>0</v>
      </c>
      <c r="BB70" s="185"/>
      <c r="BC70" s="185"/>
      <c r="BD70" s="185">
        <v>0</v>
      </c>
      <c r="BE70" s="185">
        <v>8505</v>
      </c>
      <c r="BF70" s="185">
        <v>0</v>
      </c>
      <c r="BG70" s="185"/>
      <c r="BH70" s="185">
        <v>0</v>
      </c>
      <c r="BI70" s="185"/>
      <c r="BJ70" s="185">
        <v>0</v>
      </c>
      <c r="BK70" s="185">
        <v>0</v>
      </c>
      <c r="BL70" s="185">
        <v>0</v>
      </c>
      <c r="BM70" s="185"/>
      <c r="BN70" s="185">
        <v>250333</v>
      </c>
      <c r="BO70" s="185">
        <v>0</v>
      </c>
      <c r="BP70" s="185">
        <v>0</v>
      </c>
      <c r="BQ70" s="185"/>
      <c r="BR70" s="185">
        <v>63</v>
      </c>
      <c r="BS70" s="185"/>
      <c r="BT70" s="185"/>
      <c r="BU70" s="185"/>
      <c r="BV70" s="185">
        <f>18166+13125</f>
        <v>31291</v>
      </c>
      <c r="BW70" s="185">
        <v>4795</v>
      </c>
      <c r="BX70" s="185"/>
      <c r="BY70" s="185"/>
      <c r="BZ70" s="185"/>
      <c r="CA70" s="185">
        <v>0</v>
      </c>
      <c r="CB70" s="185"/>
      <c r="CC70" s="185"/>
      <c r="CD70" s="188">
        <f>6075+8150+537505+19536+56879+8556+1212254</f>
        <v>1848955</v>
      </c>
      <c r="CE70" s="195">
        <f t="shared" si="0"/>
        <v>8159196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2776885</v>
      </c>
      <c r="D71" s="195">
        <f t="shared" ref="D71:AI71" si="5">SUM(D61:D69)-D70</f>
        <v>0</v>
      </c>
      <c r="E71" s="195">
        <f t="shared" si="5"/>
        <v>7453079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45742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114517</v>
      </c>
      <c r="P71" s="195">
        <f t="shared" si="5"/>
        <v>3127337</v>
      </c>
      <c r="Q71" s="195">
        <f t="shared" si="5"/>
        <v>1838349</v>
      </c>
      <c r="R71" s="195">
        <f t="shared" si="5"/>
        <v>-186382</v>
      </c>
      <c r="S71" s="195">
        <f t="shared" si="5"/>
        <v>3729203</v>
      </c>
      <c r="T71" s="195">
        <f t="shared" si="5"/>
        <v>0</v>
      </c>
      <c r="U71" s="195">
        <f t="shared" si="5"/>
        <v>4627117</v>
      </c>
      <c r="V71" s="195">
        <f t="shared" si="5"/>
        <v>0</v>
      </c>
      <c r="W71" s="195">
        <f t="shared" si="5"/>
        <v>449103</v>
      </c>
      <c r="X71" s="195">
        <f t="shared" si="5"/>
        <v>776034</v>
      </c>
      <c r="Y71" s="195">
        <f t="shared" si="5"/>
        <v>3077000</v>
      </c>
      <c r="Z71" s="195">
        <f t="shared" si="5"/>
        <v>0</v>
      </c>
      <c r="AA71" s="195">
        <f t="shared" si="5"/>
        <v>214320</v>
      </c>
      <c r="AB71" s="195">
        <f t="shared" si="5"/>
        <v>741964</v>
      </c>
      <c r="AC71" s="195">
        <f t="shared" si="5"/>
        <v>1144642</v>
      </c>
      <c r="AD71" s="195">
        <f t="shared" si="5"/>
        <v>0</v>
      </c>
      <c r="AE71" s="195">
        <f t="shared" si="5"/>
        <v>2214269</v>
      </c>
      <c r="AF71" s="195">
        <f t="shared" si="5"/>
        <v>0</v>
      </c>
      <c r="AG71" s="195">
        <f t="shared" si="5"/>
        <v>6441027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22765699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363071</v>
      </c>
      <c r="AW71" s="195">
        <f t="shared" si="6"/>
        <v>0</v>
      </c>
      <c r="AX71" s="195">
        <f t="shared" si="6"/>
        <v>0</v>
      </c>
      <c r="AY71" s="195">
        <f t="shared" si="6"/>
        <v>1353638</v>
      </c>
      <c r="AZ71" s="195">
        <f t="shared" si="6"/>
        <v>0</v>
      </c>
      <c r="BA71" s="195">
        <f t="shared" si="6"/>
        <v>335672</v>
      </c>
      <c r="BB71" s="195">
        <f t="shared" si="6"/>
        <v>0</v>
      </c>
      <c r="BC71" s="195">
        <f t="shared" si="6"/>
        <v>0</v>
      </c>
      <c r="BD71" s="195">
        <f t="shared" si="6"/>
        <v>584236</v>
      </c>
      <c r="BE71" s="195">
        <f t="shared" si="6"/>
        <v>3014216</v>
      </c>
      <c r="BF71" s="195">
        <f t="shared" si="6"/>
        <v>1747286</v>
      </c>
      <c r="BG71" s="195">
        <f t="shared" si="6"/>
        <v>0</v>
      </c>
      <c r="BH71" s="195">
        <f t="shared" si="6"/>
        <v>5130173</v>
      </c>
      <c r="BI71" s="195">
        <f t="shared" si="6"/>
        <v>0</v>
      </c>
      <c r="BJ71" s="195">
        <f t="shared" si="6"/>
        <v>879918</v>
      </c>
      <c r="BK71" s="195">
        <f t="shared" si="6"/>
        <v>1892076</v>
      </c>
      <c r="BL71" s="195">
        <f t="shared" si="6"/>
        <v>1552287</v>
      </c>
      <c r="BM71" s="195">
        <f t="shared" si="6"/>
        <v>0</v>
      </c>
      <c r="BN71" s="195">
        <f t="shared" si="6"/>
        <v>4293308</v>
      </c>
      <c r="BO71" s="195">
        <f t="shared" si="6"/>
        <v>277958</v>
      </c>
      <c r="BP71" s="195">
        <f t="shared" ref="BP71:CC71" si="7">SUM(BP61:BP69)-BP70</f>
        <v>287844</v>
      </c>
      <c r="BQ71" s="195">
        <f t="shared" si="7"/>
        <v>0</v>
      </c>
      <c r="BR71" s="195">
        <f t="shared" si="7"/>
        <v>810604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2114987</v>
      </c>
      <c r="BW71" s="195">
        <f t="shared" si="7"/>
        <v>291675</v>
      </c>
      <c r="BX71" s="195">
        <f t="shared" si="7"/>
        <v>0</v>
      </c>
      <c r="BY71" s="195">
        <f t="shared" si="7"/>
        <v>3731436</v>
      </c>
      <c r="BZ71" s="195">
        <f t="shared" si="7"/>
        <v>0</v>
      </c>
      <c r="CA71" s="195">
        <f t="shared" si="7"/>
        <v>353276</v>
      </c>
      <c r="CB71" s="195">
        <f t="shared" si="7"/>
        <v>0</v>
      </c>
      <c r="CC71" s="195">
        <f t="shared" si="7"/>
        <v>2024203</v>
      </c>
      <c r="CD71" s="245">
        <f>CD69-CD70</f>
        <v>-516622</v>
      </c>
      <c r="CE71" s="195">
        <f>SUM(CE61:CE69)-CE70</f>
        <v>91871147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2215600</v>
      </c>
      <c r="CF72" s="252"/>
    </row>
    <row r="73" spans="1:84" ht="12.6" customHeight="1" x14ac:dyDescent="0.25">
      <c r="A73" s="171" t="s">
        <v>245</v>
      </c>
      <c r="B73" s="175"/>
      <c r="C73" s="184">
        <v>8200623</v>
      </c>
      <c r="D73" s="184"/>
      <c r="E73" s="184">
        <v>14603312</v>
      </c>
      <c r="F73" s="185"/>
      <c r="G73" s="184"/>
      <c r="H73" s="184"/>
      <c r="I73" s="185"/>
      <c r="J73" s="185">
        <v>914225</v>
      </c>
      <c r="K73" s="185"/>
      <c r="L73" s="185"/>
      <c r="M73" s="184"/>
      <c r="N73" s="184"/>
      <c r="O73" s="184">
        <v>1954161</v>
      </c>
      <c r="P73" s="185">
        <v>3783983</v>
      </c>
      <c r="Q73" s="185">
        <v>976104</v>
      </c>
      <c r="R73" s="185">
        <v>581485</v>
      </c>
      <c r="S73" s="185">
        <v>2912903</v>
      </c>
      <c r="T73" s="185"/>
      <c r="U73" s="185">
        <v>3561284</v>
      </c>
      <c r="V73" s="185"/>
      <c r="W73" s="185">
        <v>395854</v>
      </c>
      <c r="X73" s="185">
        <v>1653078</v>
      </c>
      <c r="Y73" s="185">
        <v>1726639</v>
      </c>
      <c r="Z73" s="185"/>
      <c r="AA73" s="185">
        <v>73665</v>
      </c>
      <c r="AB73" s="185">
        <v>2683433</v>
      </c>
      <c r="AC73" s="185">
        <v>3533670</v>
      </c>
      <c r="AD73" s="185"/>
      <c r="AE73" s="185">
        <v>466434</v>
      </c>
      <c r="AF73" s="185"/>
      <c r="AG73" s="185">
        <v>1565902</v>
      </c>
      <c r="AH73" s="185"/>
      <c r="AI73" s="185"/>
      <c r="AJ73" s="185"/>
      <c r="AK73" s="185"/>
      <c r="AL73" s="185"/>
      <c r="AM73" s="185"/>
      <c r="AN73" s="185"/>
      <c r="AO73" s="185"/>
      <c r="AP73" s="185">
        <v>0</v>
      </c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49586755</v>
      </c>
      <c r="CF73" s="252"/>
    </row>
    <row r="74" spans="1:84" ht="12.6" customHeight="1" x14ac:dyDescent="0.25">
      <c r="A74" s="171" t="s">
        <v>246</v>
      </c>
      <c r="B74" s="175"/>
      <c r="C74" s="184">
        <v>1721301</v>
      </c>
      <c r="D74" s="184"/>
      <c r="E74" s="184">
        <v>3769313</v>
      </c>
      <c r="F74" s="185"/>
      <c r="G74" s="184"/>
      <c r="H74" s="184"/>
      <c r="I74" s="184"/>
      <c r="J74" s="185">
        <v>109702</v>
      </c>
      <c r="K74" s="185"/>
      <c r="L74" s="185"/>
      <c r="M74" s="184"/>
      <c r="N74" s="184"/>
      <c r="O74" s="184">
        <v>554514</v>
      </c>
      <c r="P74" s="185">
        <v>9528722</v>
      </c>
      <c r="Q74" s="185">
        <v>4139979</v>
      </c>
      <c r="R74" s="185">
        <v>1183322</v>
      </c>
      <c r="S74" s="185">
        <v>2994057</v>
      </c>
      <c r="T74" s="185"/>
      <c r="U74" s="185">
        <v>23302925</v>
      </c>
      <c r="V74" s="185"/>
      <c r="W74" s="185">
        <v>6354917</v>
      </c>
      <c r="X74" s="185">
        <v>20072626</v>
      </c>
      <c r="Y74" s="185">
        <v>17018081</v>
      </c>
      <c r="Z74" s="185"/>
      <c r="AA74" s="185">
        <v>783343</v>
      </c>
      <c r="AB74" s="185">
        <v>5652683</v>
      </c>
      <c r="AC74" s="185">
        <v>2742776</v>
      </c>
      <c r="AD74" s="185"/>
      <c r="AE74" s="185">
        <v>6847113</v>
      </c>
      <c r="AF74" s="185"/>
      <c r="AG74" s="185">
        <f>38559310-144</f>
        <v>38559166</v>
      </c>
      <c r="AH74" s="185"/>
      <c r="AI74" s="185"/>
      <c r="AJ74" s="185"/>
      <c r="AK74" s="185"/>
      <c r="AL74" s="185"/>
      <c r="AM74" s="185"/>
      <c r="AN74" s="185"/>
      <c r="AO74" s="185"/>
      <c r="AP74" s="185">
        <v>27728939</v>
      </c>
      <c r="AQ74" s="185"/>
      <c r="AR74" s="185"/>
      <c r="AS74" s="185"/>
      <c r="AT74" s="185"/>
      <c r="AU74" s="185"/>
      <c r="AV74" s="185">
        <f>239974-7573</f>
        <v>232401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173295880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9921924</v>
      </c>
      <c r="D75" s="195">
        <f t="shared" si="9"/>
        <v>0</v>
      </c>
      <c r="E75" s="195">
        <f t="shared" si="9"/>
        <v>18372625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1023927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2508675</v>
      </c>
      <c r="P75" s="195">
        <f t="shared" si="9"/>
        <v>13312705</v>
      </c>
      <c r="Q75" s="195">
        <f t="shared" si="9"/>
        <v>5116083</v>
      </c>
      <c r="R75" s="195">
        <f t="shared" si="9"/>
        <v>1764807</v>
      </c>
      <c r="S75" s="195">
        <f t="shared" si="9"/>
        <v>5906960</v>
      </c>
      <c r="T75" s="195">
        <f t="shared" si="9"/>
        <v>0</v>
      </c>
      <c r="U75" s="195">
        <f t="shared" si="9"/>
        <v>26864209</v>
      </c>
      <c r="V75" s="195">
        <f t="shared" si="9"/>
        <v>0</v>
      </c>
      <c r="W75" s="195">
        <f t="shared" si="9"/>
        <v>6750771</v>
      </c>
      <c r="X75" s="195">
        <f t="shared" si="9"/>
        <v>21725704</v>
      </c>
      <c r="Y75" s="195">
        <f t="shared" si="9"/>
        <v>18744720</v>
      </c>
      <c r="Z75" s="195">
        <f t="shared" si="9"/>
        <v>0</v>
      </c>
      <c r="AA75" s="195">
        <f t="shared" si="9"/>
        <v>857008</v>
      </c>
      <c r="AB75" s="195">
        <f t="shared" si="9"/>
        <v>8336116</v>
      </c>
      <c r="AC75" s="195">
        <f t="shared" si="9"/>
        <v>6276446</v>
      </c>
      <c r="AD75" s="195">
        <f t="shared" si="9"/>
        <v>0</v>
      </c>
      <c r="AE75" s="195">
        <f t="shared" si="9"/>
        <v>7313547</v>
      </c>
      <c r="AF75" s="195">
        <f t="shared" si="9"/>
        <v>0</v>
      </c>
      <c r="AG75" s="195">
        <f t="shared" si="9"/>
        <v>40125068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27728939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232401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222882635</v>
      </c>
      <c r="CF75" s="252"/>
    </row>
    <row r="76" spans="1:84" ht="12.6" customHeight="1" x14ac:dyDescent="0.25">
      <c r="A76" s="171" t="s">
        <v>248</v>
      </c>
      <c r="B76" s="175"/>
      <c r="C76" s="184">
        <v>6509.73</v>
      </c>
      <c r="D76" s="184"/>
      <c r="E76" s="185">
        <f>14243.66+4985.28</f>
        <v>19228.939999999999</v>
      </c>
      <c r="F76" s="185"/>
      <c r="G76" s="184"/>
      <c r="H76" s="184"/>
      <c r="I76" s="185"/>
      <c r="J76" s="185">
        <f>481.41</f>
        <v>481.41</v>
      </c>
      <c r="K76" s="185"/>
      <c r="L76" s="185"/>
      <c r="M76" s="185"/>
      <c r="N76" s="185"/>
      <c r="O76" s="185">
        <f>973.64</f>
        <v>973.64</v>
      </c>
      <c r="P76" s="185">
        <f>5171.27+208.42+1177.35</f>
        <v>6557.0400000000009</v>
      </c>
      <c r="Q76" s="185">
        <f>7237.91</f>
        <v>7237.91</v>
      </c>
      <c r="R76" s="185">
        <f>311.2</f>
        <v>311.2</v>
      </c>
      <c r="S76" s="185">
        <f>2966.57</f>
        <v>2966.57</v>
      </c>
      <c r="T76" s="185"/>
      <c r="U76" s="185">
        <f>3261.83+886</f>
        <v>4147.83</v>
      </c>
      <c r="V76" s="185"/>
      <c r="W76" s="185">
        <f>2134.71</f>
        <v>2134.71</v>
      </c>
      <c r="X76" s="185">
        <f>790.65</f>
        <v>790.65</v>
      </c>
      <c r="Y76" s="185">
        <f>4627.49+695.23</f>
        <v>5322.7199999999993</v>
      </c>
      <c r="Z76" s="185"/>
      <c r="AA76" s="185">
        <f>689.27</f>
        <v>689.27</v>
      </c>
      <c r="AB76" s="185">
        <f>1815.12</f>
        <v>1815.12</v>
      </c>
      <c r="AC76" s="185">
        <f>804.46</f>
        <v>804.46</v>
      </c>
      <c r="AD76" s="185"/>
      <c r="AE76" s="185">
        <v>3881.51</v>
      </c>
      <c r="AF76" s="185"/>
      <c r="AG76" s="185">
        <f>9530.74</f>
        <v>9530.74</v>
      </c>
      <c r="AH76" s="185"/>
      <c r="AI76" s="185"/>
      <c r="AJ76" s="185"/>
      <c r="AK76" s="185"/>
      <c r="AL76" s="185"/>
      <c r="AM76" s="185"/>
      <c r="AN76" s="185"/>
      <c r="AO76" s="185"/>
      <c r="AP76" s="185">
        <f>1650+1347+2734+2734+2038+4297+3686+6393.4+1642+17668.6</f>
        <v>44190</v>
      </c>
      <c r="AQ76" s="185"/>
      <c r="AR76" s="185"/>
      <c r="AS76" s="185"/>
      <c r="AT76" s="185"/>
      <c r="AU76" s="185"/>
      <c r="AV76" s="185">
        <f>267.6</f>
        <v>267.60000000000002</v>
      </c>
      <c r="AW76" s="185"/>
      <c r="AX76" s="185"/>
      <c r="AY76" s="185">
        <f>5033.42</f>
        <v>5033.42</v>
      </c>
      <c r="AZ76" s="185"/>
      <c r="BA76" s="185">
        <f>1458.93</f>
        <v>1458.93</v>
      </c>
      <c r="BB76" s="185"/>
      <c r="BC76" s="185"/>
      <c r="BD76" s="185">
        <f>3397.94</f>
        <v>3397.94</v>
      </c>
      <c r="BE76" s="185">
        <f>14834.25+1401+6967+1539</f>
        <v>24741.25</v>
      </c>
      <c r="BF76" s="185">
        <f>1847.66+279</f>
        <v>2126.66</v>
      </c>
      <c r="BG76" s="185"/>
      <c r="BH76" s="185">
        <f>1789.91+144+1317</f>
        <v>3250.91</v>
      </c>
      <c r="BI76" s="185"/>
      <c r="BJ76" s="185">
        <f>0+3069.5</f>
        <v>3069.5</v>
      </c>
      <c r="BK76" s="185">
        <f>2734.5</f>
        <v>2734.5</v>
      </c>
      <c r="BL76" s="185">
        <f>1919.49+238.2</f>
        <v>2157.69</v>
      </c>
      <c r="BM76" s="185"/>
      <c r="BN76" s="185">
        <f>2923.4+1200+242+112</f>
        <v>4477.3999999999996</v>
      </c>
      <c r="BO76" s="185">
        <f>278.91+40</f>
        <v>318.91000000000003</v>
      </c>
      <c r="BP76" s="185"/>
      <c r="BQ76" s="185"/>
      <c r="BR76" s="185">
        <f>938.49+956.16</f>
        <v>1894.65</v>
      </c>
      <c r="BS76" s="185"/>
      <c r="BT76" s="185"/>
      <c r="BU76" s="185"/>
      <c r="BV76" s="185">
        <f>828+3373.6</f>
        <v>4201.6000000000004</v>
      </c>
      <c r="BW76" s="185">
        <f>1020.52</f>
        <v>1020.52</v>
      </c>
      <c r="BX76" s="185"/>
      <c r="BY76" s="185">
        <f>0+468.9+314.8+88.52+238.43+361.51+0+316.3+637</f>
        <v>2425.46</v>
      </c>
      <c r="BZ76" s="185"/>
      <c r="CA76" s="185">
        <f>1046</f>
        <v>1046</v>
      </c>
      <c r="CB76" s="185"/>
      <c r="CC76" s="185">
        <f>350.69+2884.8+1066.1+254.5+1475+1157-1408</f>
        <v>5780.09</v>
      </c>
      <c r="CD76" s="249" t="s">
        <v>221</v>
      </c>
      <c r="CE76" s="195">
        <f t="shared" si="8"/>
        <v>186976.47999999998</v>
      </c>
      <c r="CF76" s="195">
        <f>BE59-CE76</f>
        <v>2.0000000018626451E-2</v>
      </c>
    </row>
    <row r="77" spans="1:84" ht="12.6" customHeight="1" x14ac:dyDescent="0.25">
      <c r="A77" s="171" t="s">
        <v>249</v>
      </c>
      <c r="B77" s="175"/>
      <c r="C77" s="184">
        <v>4914</v>
      </c>
      <c r="D77" s="184"/>
      <c r="E77" s="184">
        <f>11768+4735+346</f>
        <v>16849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850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2991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>
        <v>2838</v>
      </c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28442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f>C76</f>
        <v>6509.73</v>
      </c>
      <c r="D78" s="184">
        <f t="shared" ref="D78:AW78" si="10">D76</f>
        <v>0</v>
      </c>
      <c r="E78" s="184">
        <f t="shared" si="10"/>
        <v>19228.939999999999</v>
      </c>
      <c r="F78" s="184">
        <f t="shared" si="10"/>
        <v>0</v>
      </c>
      <c r="G78" s="184">
        <f t="shared" si="10"/>
        <v>0</v>
      </c>
      <c r="H78" s="184">
        <f t="shared" si="10"/>
        <v>0</v>
      </c>
      <c r="I78" s="184">
        <f t="shared" si="10"/>
        <v>0</v>
      </c>
      <c r="J78" s="184">
        <f t="shared" si="10"/>
        <v>481.41</v>
      </c>
      <c r="K78" s="184">
        <f t="shared" si="10"/>
        <v>0</v>
      </c>
      <c r="L78" s="184">
        <f t="shared" si="10"/>
        <v>0</v>
      </c>
      <c r="M78" s="184">
        <f t="shared" si="10"/>
        <v>0</v>
      </c>
      <c r="N78" s="184">
        <f t="shared" si="10"/>
        <v>0</v>
      </c>
      <c r="O78" s="184">
        <f t="shared" si="10"/>
        <v>973.64</v>
      </c>
      <c r="P78" s="184">
        <f t="shared" si="10"/>
        <v>6557.0400000000009</v>
      </c>
      <c r="Q78" s="184">
        <f t="shared" si="10"/>
        <v>7237.91</v>
      </c>
      <c r="R78" s="184">
        <f t="shared" si="10"/>
        <v>311.2</v>
      </c>
      <c r="S78" s="184">
        <f t="shared" si="10"/>
        <v>2966.57</v>
      </c>
      <c r="T78" s="184">
        <f t="shared" si="10"/>
        <v>0</v>
      </c>
      <c r="U78" s="184">
        <f t="shared" si="10"/>
        <v>4147.83</v>
      </c>
      <c r="V78" s="184">
        <f t="shared" si="10"/>
        <v>0</v>
      </c>
      <c r="W78" s="184">
        <f t="shared" si="10"/>
        <v>2134.71</v>
      </c>
      <c r="X78" s="184">
        <f t="shared" si="10"/>
        <v>790.65</v>
      </c>
      <c r="Y78" s="184">
        <f t="shared" si="10"/>
        <v>5322.7199999999993</v>
      </c>
      <c r="Z78" s="184">
        <f t="shared" si="10"/>
        <v>0</v>
      </c>
      <c r="AA78" s="184">
        <f t="shared" si="10"/>
        <v>689.27</v>
      </c>
      <c r="AB78" s="184">
        <f t="shared" si="10"/>
        <v>1815.12</v>
      </c>
      <c r="AC78" s="184">
        <f t="shared" si="10"/>
        <v>804.46</v>
      </c>
      <c r="AD78" s="184">
        <f t="shared" si="10"/>
        <v>0</v>
      </c>
      <c r="AE78" s="184">
        <f t="shared" si="10"/>
        <v>3881.51</v>
      </c>
      <c r="AF78" s="184">
        <f t="shared" si="10"/>
        <v>0</v>
      </c>
      <c r="AG78" s="184">
        <f t="shared" si="10"/>
        <v>9530.74</v>
      </c>
      <c r="AH78" s="184">
        <f t="shared" si="10"/>
        <v>0</v>
      </c>
      <c r="AI78" s="184">
        <f t="shared" si="10"/>
        <v>0</v>
      </c>
      <c r="AJ78" s="184">
        <f t="shared" si="10"/>
        <v>0</v>
      </c>
      <c r="AK78" s="184">
        <f t="shared" si="10"/>
        <v>0</v>
      </c>
      <c r="AL78" s="184">
        <f t="shared" si="10"/>
        <v>0</v>
      </c>
      <c r="AM78" s="184">
        <f t="shared" si="10"/>
        <v>0</v>
      </c>
      <c r="AN78" s="184">
        <f t="shared" si="10"/>
        <v>0</v>
      </c>
      <c r="AO78" s="184">
        <f t="shared" si="10"/>
        <v>0</v>
      </c>
      <c r="AP78" s="184">
        <f t="shared" si="10"/>
        <v>44190</v>
      </c>
      <c r="AQ78" s="184">
        <f t="shared" si="10"/>
        <v>0</v>
      </c>
      <c r="AR78" s="184">
        <f t="shared" si="10"/>
        <v>0</v>
      </c>
      <c r="AS78" s="184">
        <f t="shared" si="10"/>
        <v>0</v>
      </c>
      <c r="AT78" s="184">
        <f t="shared" si="10"/>
        <v>0</v>
      </c>
      <c r="AU78" s="184">
        <f t="shared" si="10"/>
        <v>0</v>
      </c>
      <c r="AV78" s="184">
        <f t="shared" si="10"/>
        <v>267.60000000000002</v>
      </c>
      <c r="AW78" s="184">
        <f t="shared" si="10"/>
        <v>0</v>
      </c>
      <c r="AX78" s="249" t="s">
        <v>221</v>
      </c>
      <c r="AY78" s="249" t="s">
        <v>221</v>
      </c>
      <c r="AZ78" s="249" t="s">
        <v>221</v>
      </c>
      <c r="BA78" s="184">
        <f>BA76</f>
        <v>1458.93</v>
      </c>
      <c r="BB78" s="184">
        <f t="shared" ref="BB78:BC78" si="11">BB76</f>
        <v>0</v>
      </c>
      <c r="BC78" s="184">
        <f t="shared" si="11"/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f>BH76</f>
        <v>3250.91</v>
      </c>
      <c r="BI78" s="184">
        <f>BI76</f>
        <v>0</v>
      </c>
      <c r="BJ78" s="249" t="s">
        <v>221</v>
      </c>
      <c r="BK78" s="184">
        <f>BK76</f>
        <v>2734.5</v>
      </c>
      <c r="BL78" s="184">
        <f t="shared" ref="BL78:BM78" si="12">BL76</f>
        <v>2157.69</v>
      </c>
      <c r="BM78" s="184">
        <f t="shared" si="12"/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f>BS76</f>
        <v>0</v>
      </c>
      <c r="BT78" s="184">
        <f t="shared" ref="BT78:CB78" si="13">BT76</f>
        <v>0</v>
      </c>
      <c r="BU78" s="184">
        <f t="shared" si="13"/>
        <v>0</v>
      </c>
      <c r="BV78" s="184">
        <f t="shared" si="13"/>
        <v>4201.6000000000004</v>
      </c>
      <c r="BW78" s="184">
        <f t="shared" si="13"/>
        <v>1020.52</v>
      </c>
      <c r="BX78" s="184">
        <f t="shared" si="13"/>
        <v>0</v>
      </c>
      <c r="BY78" s="184">
        <f t="shared" si="13"/>
        <v>2425.46</v>
      </c>
      <c r="BZ78" s="184">
        <f t="shared" si="13"/>
        <v>0</v>
      </c>
      <c r="CA78" s="184">
        <f t="shared" si="13"/>
        <v>1046</v>
      </c>
      <c r="CB78" s="184">
        <f t="shared" si="13"/>
        <v>0</v>
      </c>
      <c r="CC78" s="249" t="s">
        <v>221</v>
      </c>
      <c r="CD78" s="249" t="s">
        <v>221</v>
      </c>
      <c r="CE78" s="195">
        <f t="shared" si="8"/>
        <v>136136.65999999997</v>
      </c>
      <c r="CF78" s="195"/>
    </row>
    <row r="79" spans="1:84" ht="12.6" customHeight="1" x14ac:dyDescent="0.25">
      <c r="A79" s="171" t="s">
        <v>251</v>
      </c>
      <c r="B79" s="175"/>
      <c r="C79" s="225">
        <v>36140</v>
      </c>
      <c r="D79" s="225"/>
      <c r="E79" s="184">
        <v>61406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28267</v>
      </c>
      <c r="P79" s="184">
        <v>36907</v>
      </c>
      <c r="Q79" s="184">
        <v>25759</v>
      </c>
      <c r="R79" s="184"/>
      <c r="S79" s="184"/>
      <c r="T79" s="184"/>
      <c r="U79" s="184">
        <v>28656</v>
      </c>
      <c r="V79" s="184"/>
      <c r="W79" s="184"/>
      <c r="X79" s="184"/>
      <c r="Y79" s="184"/>
      <c r="Z79" s="184"/>
      <c r="AA79" s="184"/>
      <c r="AB79" s="184"/>
      <c r="AC79" s="184"/>
      <c r="AD79" s="184"/>
      <c r="AE79" s="184">
        <v>9664</v>
      </c>
      <c r="AF79" s="184"/>
      <c r="AG79" s="184">
        <f>71292+399</f>
        <v>71691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298490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f>C60</f>
        <v>18.5</v>
      </c>
      <c r="D80" s="187"/>
      <c r="E80" s="187">
        <f>E60</f>
        <v>49.029999999999994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f>P60</f>
        <v>19.409999999999997</v>
      </c>
      <c r="Q80" s="187">
        <f>Q60</f>
        <v>13.47</v>
      </c>
      <c r="R80" s="187">
        <f>5.2</f>
        <v>5.2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28.26</f>
        <v>28.26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133.87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1279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1280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1423</v>
      </c>
      <c r="D111" s="174">
        <v>4190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255</v>
      </c>
      <c r="D114" s="174">
        <v>520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68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779</v>
      </c>
      <c r="C138" s="189">
        <v>396</v>
      </c>
      <c r="D138" s="174">
        <f>209+39</f>
        <v>248</v>
      </c>
      <c r="E138" s="175">
        <f>SUM(B138:D138)</f>
        <v>1423</v>
      </c>
    </row>
    <row r="139" spans="1:6" ht="12.6" customHeight="1" x14ac:dyDescent="0.25">
      <c r="A139" s="173" t="s">
        <v>215</v>
      </c>
      <c r="B139" s="174">
        <f>2497</f>
        <v>2497</v>
      </c>
      <c r="C139" s="189">
        <f>1065</f>
        <v>1065</v>
      </c>
      <c r="D139" s="174">
        <f>110+518</f>
        <v>628</v>
      </c>
      <c r="E139" s="175">
        <f>SUM(B139:D139)</f>
        <v>4190</v>
      </c>
    </row>
    <row r="140" spans="1:6" ht="12.6" customHeight="1" x14ac:dyDescent="0.25">
      <c r="A140" s="173" t="s">
        <v>298</v>
      </c>
      <c r="B140" s="174">
        <f>43754+30531</f>
        <v>74285</v>
      </c>
      <c r="C140" s="174">
        <f>28614+29998</f>
        <v>58612</v>
      </c>
      <c r="D140" s="174">
        <f>28530+25057</f>
        <v>53587</v>
      </c>
      <c r="E140" s="175">
        <f>SUM(B140:D140)</f>
        <v>186484</v>
      </c>
    </row>
    <row r="141" spans="1:6" ht="12.6" customHeight="1" x14ac:dyDescent="0.25">
      <c r="A141" s="173" t="s">
        <v>245</v>
      </c>
      <c r="B141" s="174">
        <v>26983899</v>
      </c>
      <c r="C141" s="189">
        <v>13553504</v>
      </c>
      <c r="D141" s="174">
        <v>9049351</v>
      </c>
      <c r="E141" s="175">
        <f>SUM(B141:D141)</f>
        <v>49586754</v>
      </c>
      <c r="F141" s="199"/>
    </row>
    <row r="142" spans="1:6" ht="12.6" customHeight="1" x14ac:dyDescent="0.25">
      <c r="A142" s="173" t="s">
        <v>246</v>
      </c>
      <c r="B142" s="174">
        <v>73289195</v>
      </c>
      <c r="C142" s="189">
        <v>50580747</v>
      </c>
      <c r="D142" s="174">
        <v>49425942</v>
      </c>
      <c r="E142" s="175">
        <f>SUM(B142:D142)</f>
        <v>173295884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6564661</v>
      </c>
      <c r="C157" s="174">
        <v>2318520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3286524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110526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421164</f>
        <v>421164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6434391+534224+111887</f>
        <v>7080502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102493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2413934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39432+5534</f>
        <v>44966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13460109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166983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568839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735822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388146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234610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622756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627132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627132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891551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891551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2015497</v>
      </c>
      <c r="C195" s="189"/>
      <c r="D195" s="174"/>
      <c r="E195" s="175">
        <f t="shared" ref="E195:E203" si="14">SUM(B195:C195)-D195</f>
        <v>2015497</v>
      </c>
    </row>
    <row r="196" spans="1:8" ht="12.6" customHeight="1" x14ac:dyDescent="0.25">
      <c r="A196" s="173" t="s">
        <v>333</v>
      </c>
      <c r="B196" s="174">
        <v>2729456</v>
      </c>
      <c r="C196" s="189"/>
      <c r="D196" s="174"/>
      <c r="E196" s="175">
        <f t="shared" si="14"/>
        <v>2729456</v>
      </c>
    </row>
    <row r="197" spans="1:8" ht="12.6" customHeight="1" x14ac:dyDescent="0.25">
      <c r="A197" s="173" t="s">
        <v>334</v>
      </c>
      <c r="B197" s="174">
        <v>36186805</v>
      </c>
      <c r="C197" s="189">
        <v>30140</v>
      </c>
      <c r="D197" s="174">
        <v>183030</v>
      </c>
      <c r="E197" s="175">
        <f t="shared" si="14"/>
        <v>36033915</v>
      </c>
    </row>
    <row r="198" spans="1:8" ht="12.6" customHeight="1" x14ac:dyDescent="0.25">
      <c r="A198" s="173" t="s">
        <v>335</v>
      </c>
      <c r="B198" s="174">
        <v>21292736</v>
      </c>
      <c r="C198" s="189">
        <v>11932</v>
      </c>
      <c r="D198" s="174"/>
      <c r="E198" s="175">
        <f t="shared" si="14"/>
        <v>21304668</v>
      </c>
    </row>
    <row r="199" spans="1:8" ht="12.6" customHeight="1" x14ac:dyDescent="0.25">
      <c r="A199" s="173" t="s">
        <v>336</v>
      </c>
      <c r="B199" s="174">
        <v>1613835</v>
      </c>
      <c r="C199" s="189">
        <v>137101</v>
      </c>
      <c r="D199" s="174"/>
      <c r="E199" s="175">
        <f t="shared" si="14"/>
        <v>1750936</v>
      </c>
    </row>
    <row r="200" spans="1:8" ht="12.6" customHeight="1" x14ac:dyDescent="0.25">
      <c r="A200" s="173" t="s">
        <v>337</v>
      </c>
      <c r="B200" s="174">
        <v>32697075</v>
      </c>
      <c r="C200" s="189">
        <v>1690705</v>
      </c>
      <c r="D200" s="174">
        <v>539904</v>
      </c>
      <c r="E200" s="175">
        <f t="shared" si="14"/>
        <v>33847876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/>
      <c r="E201" s="175">
        <f t="shared" si="14"/>
        <v>0</v>
      </c>
    </row>
    <row r="202" spans="1:8" ht="12.6" customHeight="1" x14ac:dyDescent="0.25">
      <c r="A202" s="173" t="s">
        <v>339</v>
      </c>
      <c r="B202" s="174">
        <v>42847</v>
      </c>
      <c r="C202" s="189">
        <v>1107868</v>
      </c>
      <c r="D202" s="174"/>
      <c r="E202" s="175">
        <f t="shared" si="14"/>
        <v>1150715</v>
      </c>
    </row>
    <row r="203" spans="1:8" ht="12.6" customHeight="1" x14ac:dyDescent="0.25">
      <c r="A203" s="173" t="s">
        <v>340</v>
      </c>
      <c r="B203" s="174">
        <v>1791507</v>
      </c>
      <c r="C203" s="189">
        <v>6953601</v>
      </c>
      <c r="D203" s="174">
        <v>2589652</v>
      </c>
      <c r="E203" s="175">
        <f t="shared" si="14"/>
        <v>6155456</v>
      </c>
    </row>
    <row r="204" spans="1:8" ht="12.6" customHeight="1" x14ac:dyDescent="0.25">
      <c r="A204" s="173" t="s">
        <v>203</v>
      </c>
      <c r="B204" s="175">
        <f>SUM(B195:B203)</f>
        <v>98369758</v>
      </c>
      <c r="C204" s="191">
        <f>SUM(C195:C203)</f>
        <v>9931347</v>
      </c>
      <c r="D204" s="175">
        <f>SUM(D195:D203)</f>
        <v>3312586</v>
      </c>
      <c r="E204" s="175">
        <f>SUM(E195:E203)</f>
        <v>104988519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1549494</v>
      </c>
      <c r="C209" s="189">
        <v>180429</v>
      </c>
      <c r="D209" s="174">
        <v>0</v>
      </c>
      <c r="E209" s="175">
        <f t="shared" ref="E209:E216" si="15">SUM(B209:C209)-D209</f>
        <v>1729923</v>
      </c>
      <c r="H209" s="259"/>
    </row>
    <row r="210" spans="1:8" ht="12.6" customHeight="1" x14ac:dyDescent="0.25">
      <c r="A210" s="173" t="s">
        <v>334</v>
      </c>
      <c r="B210" s="174">
        <v>16339971</v>
      </c>
      <c r="C210" s="189">
        <v>1516542</v>
      </c>
      <c r="D210" s="174">
        <v>183030</v>
      </c>
      <c r="E210" s="175">
        <f t="shared" si="15"/>
        <v>17673483</v>
      </c>
      <c r="H210" s="259"/>
    </row>
    <row r="211" spans="1:8" ht="12.6" customHeight="1" x14ac:dyDescent="0.25">
      <c r="A211" s="173" t="s">
        <v>335</v>
      </c>
      <c r="B211" s="174">
        <v>8461727</v>
      </c>
      <c r="C211" s="189">
        <v>1283505</v>
      </c>
      <c r="D211" s="174">
        <v>0</v>
      </c>
      <c r="E211" s="175">
        <f t="shared" si="15"/>
        <v>9745232</v>
      </c>
      <c r="H211" s="259"/>
    </row>
    <row r="212" spans="1:8" ht="12.6" customHeight="1" x14ac:dyDescent="0.25">
      <c r="A212" s="173" t="s">
        <v>336</v>
      </c>
      <c r="B212" s="174">
        <v>1393981</v>
      </c>
      <c r="C212" s="189">
        <v>208258</v>
      </c>
      <c r="D212" s="174">
        <v>0</v>
      </c>
      <c r="E212" s="175">
        <f t="shared" si="15"/>
        <v>1602239</v>
      </c>
      <c r="H212" s="259"/>
    </row>
    <row r="213" spans="1:8" ht="12.6" customHeight="1" x14ac:dyDescent="0.25">
      <c r="A213" s="173" t="s">
        <v>337</v>
      </c>
      <c r="B213" s="174">
        <v>24945845</v>
      </c>
      <c r="C213" s="189">
        <v>3212590</v>
      </c>
      <c r="D213" s="174">
        <v>533471</v>
      </c>
      <c r="E213" s="175">
        <f t="shared" si="15"/>
        <v>27624964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5"/>
        <v>0</v>
      </c>
      <c r="H214" s="259"/>
    </row>
    <row r="215" spans="1:8" ht="12.6" customHeight="1" x14ac:dyDescent="0.25">
      <c r="A215" s="173" t="s">
        <v>339</v>
      </c>
      <c r="B215" s="174">
        <v>36777</v>
      </c>
      <c r="C215" s="189">
        <v>87845</v>
      </c>
      <c r="D215" s="174">
        <v>0</v>
      </c>
      <c r="E215" s="175">
        <f t="shared" si="15"/>
        <v>124622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5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52727795</v>
      </c>
      <c r="C217" s="191">
        <f>SUM(C208:C216)</f>
        <v>6489169</v>
      </c>
      <c r="D217" s="175">
        <f>SUM(D208:D216)</f>
        <v>716501</v>
      </c>
      <c r="E217" s="175">
        <f>SUM(E208:E216)</f>
        <v>58500463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4316744</v>
      </c>
      <c r="D221" s="172">
        <f>C221</f>
        <v>4316744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59370627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40145711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2076846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18711831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120305015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1768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213713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3262545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3476258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2210751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2210751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130308768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6784429+49441688</f>
        <v>56226117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30542112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3763244+15089009</f>
        <v>18852253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1502810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621191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1488522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1143040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72671539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f>86481156-49441688</f>
        <v>37039468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37039468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2015497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2729456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36033915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21304669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1750935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33847876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1150715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6155456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104988519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58500463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46488056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156199063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2800603+107106</f>
        <v>2907709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10190742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3130705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238638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975000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17442794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291092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291092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56968834+975000</f>
        <v>57943834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57943834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975000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56968834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81496343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156199063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156199063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49586754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145566942+27728939</f>
        <v>173295881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222882635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4316744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59370627+40145711+18711831+2076846+1</f>
        <v>120305016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3476258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2210751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130308769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92573866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8159192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2215600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10374792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102948658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48797793+1</f>
        <v>48797794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13460108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4300805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11855296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1033970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9462831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6663533-174364</f>
        <v>6489169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735822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622757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627132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891551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2205875-C387+174364</f>
        <v>1753107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100030342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2918316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972987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3891303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3891303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Public Hospital District No 1 of Mason County, WA, DBA Mason General Hospital and Family of Clinics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1423</v>
      </c>
      <c r="C414" s="194">
        <f>E138</f>
        <v>1423</v>
      </c>
      <c r="D414" s="179"/>
    </row>
    <row r="415" spans="1:5" ht="12.6" customHeight="1" x14ac:dyDescent="0.25">
      <c r="A415" s="179" t="s">
        <v>464</v>
      </c>
      <c r="B415" s="179">
        <f>D111</f>
        <v>4190</v>
      </c>
      <c r="C415" s="179">
        <f>E139</f>
        <v>4190</v>
      </c>
      <c r="D415" s="194">
        <f>SUM(C59:H59)+N59</f>
        <v>4190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255</v>
      </c>
    </row>
    <row r="424" spans="1:7" ht="12.6" customHeight="1" x14ac:dyDescent="0.25">
      <c r="A424" s="179" t="s">
        <v>1244</v>
      </c>
      <c r="B424" s="179">
        <f>D114</f>
        <v>520</v>
      </c>
      <c r="D424" s="179">
        <f>J59</f>
        <v>582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6">C378</f>
        <v>48797794</v>
      </c>
      <c r="C427" s="179">
        <f t="shared" ref="C427:C434" si="17">CE61</f>
        <v>48797793</v>
      </c>
      <c r="D427" s="179"/>
    </row>
    <row r="428" spans="1:7" ht="12.6" customHeight="1" x14ac:dyDescent="0.25">
      <c r="A428" s="179" t="s">
        <v>3</v>
      </c>
      <c r="B428" s="179">
        <f t="shared" si="16"/>
        <v>13460108</v>
      </c>
      <c r="C428" s="179">
        <f t="shared" si="17"/>
        <v>13460108</v>
      </c>
      <c r="D428" s="179">
        <f>D173</f>
        <v>13460109</v>
      </c>
    </row>
    <row r="429" spans="1:7" ht="12.6" customHeight="1" x14ac:dyDescent="0.25">
      <c r="A429" s="179" t="s">
        <v>236</v>
      </c>
      <c r="B429" s="179">
        <f t="shared" si="16"/>
        <v>4300805</v>
      </c>
      <c r="C429" s="179">
        <f t="shared" si="17"/>
        <v>4300805</v>
      </c>
      <c r="D429" s="179"/>
    </row>
    <row r="430" spans="1:7" ht="12.6" customHeight="1" x14ac:dyDescent="0.25">
      <c r="A430" s="179" t="s">
        <v>237</v>
      </c>
      <c r="B430" s="179">
        <f t="shared" si="16"/>
        <v>11855296</v>
      </c>
      <c r="C430" s="179">
        <f t="shared" si="17"/>
        <v>11855296</v>
      </c>
      <c r="D430" s="179"/>
    </row>
    <row r="431" spans="1:7" ht="12.6" customHeight="1" x14ac:dyDescent="0.25">
      <c r="A431" s="179" t="s">
        <v>444</v>
      </c>
      <c r="B431" s="179">
        <f t="shared" si="16"/>
        <v>1033970</v>
      </c>
      <c r="C431" s="179">
        <f t="shared" si="17"/>
        <v>1033970</v>
      </c>
      <c r="D431" s="179"/>
    </row>
    <row r="432" spans="1:7" ht="12.6" customHeight="1" x14ac:dyDescent="0.25">
      <c r="A432" s="179" t="s">
        <v>445</v>
      </c>
      <c r="B432" s="179">
        <f t="shared" si="16"/>
        <v>9462831</v>
      </c>
      <c r="C432" s="179">
        <f t="shared" si="17"/>
        <v>9462831</v>
      </c>
      <c r="D432" s="179"/>
    </row>
    <row r="433" spans="1:7" ht="12.6" customHeight="1" x14ac:dyDescent="0.25">
      <c r="A433" s="179" t="s">
        <v>6</v>
      </c>
      <c r="B433" s="179">
        <f t="shared" si="16"/>
        <v>6489169</v>
      </c>
      <c r="C433" s="179">
        <f t="shared" si="17"/>
        <v>6489171</v>
      </c>
      <c r="D433" s="179">
        <f>C217</f>
        <v>6489169</v>
      </c>
    </row>
    <row r="434" spans="1:7" ht="12.6" customHeight="1" x14ac:dyDescent="0.25">
      <c r="A434" s="179" t="s">
        <v>474</v>
      </c>
      <c r="B434" s="179">
        <f t="shared" si="16"/>
        <v>735822</v>
      </c>
      <c r="C434" s="179">
        <f t="shared" si="17"/>
        <v>735822</v>
      </c>
      <c r="D434" s="179">
        <f>D177</f>
        <v>735822</v>
      </c>
    </row>
    <row r="435" spans="1:7" ht="12.6" customHeight="1" x14ac:dyDescent="0.25">
      <c r="A435" s="179" t="s">
        <v>447</v>
      </c>
      <c r="B435" s="179">
        <f t="shared" si="16"/>
        <v>622757</v>
      </c>
      <c r="C435" s="179"/>
      <c r="D435" s="179">
        <f>D181</f>
        <v>622756</v>
      </c>
    </row>
    <row r="436" spans="1:7" ht="12.6" customHeight="1" x14ac:dyDescent="0.25">
      <c r="A436" s="179" t="s">
        <v>475</v>
      </c>
      <c r="B436" s="179">
        <f t="shared" si="16"/>
        <v>627132</v>
      </c>
      <c r="C436" s="179"/>
      <c r="D436" s="179">
        <f>D186</f>
        <v>627132</v>
      </c>
    </row>
    <row r="437" spans="1:7" ht="12.6" customHeight="1" x14ac:dyDescent="0.25">
      <c r="A437" s="194" t="s">
        <v>449</v>
      </c>
      <c r="B437" s="194">
        <f t="shared" si="16"/>
        <v>891551</v>
      </c>
      <c r="C437" s="194"/>
      <c r="D437" s="194">
        <f>D190</f>
        <v>891551</v>
      </c>
    </row>
    <row r="438" spans="1:7" ht="12.6" customHeight="1" x14ac:dyDescent="0.25">
      <c r="A438" s="194" t="s">
        <v>476</v>
      </c>
      <c r="B438" s="194">
        <f>C386+C387+C388</f>
        <v>2141440</v>
      </c>
      <c r="C438" s="194">
        <f>CD69</f>
        <v>1332333</v>
      </c>
      <c r="D438" s="194">
        <f>D181+D186+D190</f>
        <v>2141439</v>
      </c>
    </row>
    <row r="439" spans="1:7" ht="12.6" customHeight="1" x14ac:dyDescent="0.25">
      <c r="A439" s="179" t="s">
        <v>451</v>
      </c>
      <c r="B439" s="194">
        <f>C389</f>
        <v>1753107</v>
      </c>
      <c r="C439" s="194">
        <f>SUM(C69:CC69)</f>
        <v>2562214</v>
      </c>
      <c r="D439" s="179"/>
    </row>
    <row r="440" spans="1:7" ht="12.6" customHeight="1" x14ac:dyDescent="0.25">
      <c r="A440" s="179" t="s">
        <v>477</v>
      </c>
      <c r="B440" s="194">
        <f>B438+B439</f>
        <v>3894547</v>
      </c>
      <c r="C440" s="194">
        <f>CE69</f>
        <v>3894547</v>
      </c>
      <c r="D440" s="179"/>
    </row>
    <row r="441" spans="1:7" ht="12.6" customHeight="1" x14ac:dyDescent="0.25">
      <c r="A441" s="179" t="s">
        <v>478</v>
      </c>
      <c r="B441" s="179">
        <f>D390</f>
        <v>100030342</v>
      </c>
      <c r="C441" s="179">
        <f>SUM(C427:C437)+C440</f>
        <v>100030343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4316744</v>
      </c>
      <c r="C444" s="179">
        <f>C363</f>
        <v>4316744</v>
      </c>
      <c r="D444" s="179"/>
    </row>
    <row r="445" spans="1:7" ht="12.6" customHeight="1" x14ac:dyDescent="0.25">
      <c r="A445" s="179" t="s">
        <v>343</v>
      </c>
      <c r="B445" s="179">
        <f>D229</f>
        <v>120305015</v>
      </c>
      <c r="C445" s="179">
        <f>C364</f>
        <v>120305016</v>
      </c>
      <c r="D445" s="179"/>
    </row>
    <row r="446" spans="1:7" ht="12.6" customHeight="1" x14ac:dyDescent="0.25">
      <c r="A446" s="179" t="s">
        <v>351</v>
      </c>
      <c r="B446" s="179">
        <f>D236</f>
        <v>3476258</v>
      </c>
      <c r="C446" s="179">
        <f>C365</f>
        <v>3476258</v>
      </c>
      <c r="D446" s="179"/>
    </row>
    <row r="447" spans="1:7" ht="12.6" customHeight="1" x14ac:dyDescent="0.25">
      <c r="A447" s="179" t="s">
        <v>356</v>
      </c>
      <c r="B447" s="179">
        <f>D240</f>
        <v>2210751</v>
      </c>
      <c r="C447" s="179">
        <f>C366</f>
        <v>2210751</v>
      </c>
      <c r="D447" s="179"/>
    </row>
    <row r="448" spans="1:7" ht="12.6" customHeight="1" x14ac:dyDescent="0.25">
      <c r="A448" s="179" t="s">
        <v>358</v>
      </c>
      <c r="B448" s="179">
        <f>D242</f>
        <v>130308768</v>
      </c>
      <c r="C448" s="179">
        <f>D367</f>
        <v>130308769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1768</v>
      </c>
    </row>
    <row r="454" spans="1:7" ht="12.6" customHeight="1" x14ac:dyDescent="0.25">
      <c r="A454" s="179" t="s">
        <v>168</v>
      </c>
      <c r="B454" s="179">
        <f>C233</f>
        <v>213713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3262545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8159192</v>
      </c>
      <c r="C458" s="194">
        <f>CE70</f>
        <v>8159196</v>
      </c>
      <c r="D458" s="194"/>
    </row>
    <row r="459" spans="1:7" ht="12.6" customHeight="1" x14ac:dyDescent="0.25">
      <c r="A459" s="179" t="s">
        <v>244</v>
      </c>
      <c r="B459" s="194">
        <f>C371</f>
        <v>2215600</v>
      </c>
      <c r="C459" s="194">
        <f>CE72</f>
        <v>2215600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49586754</v>
      </c>
      <c r="C463" s="194">
        <f>CE73</f>
        <v>49586755</v>
      </c>
      <c r="D463" s="194">
        <f>E141+E147+E153</f>
        <v>49586754</v>
      </c>
    </row>
    <row r="464" spans="1:7" ht="12.6" customHeight="1" x14ac:dyDescent="0.25">
      <c r="A464" s="179" t="s">
        <v>246</v>
      </c>
      <c r="B464" s="194">
        <f>C360</f>
        <v>173295881</v>
      </c>
      <c r="C464" s="194">
        <f>CE74</f>
        <v>173295880</v>
      </c>
      <c r="D464" s="194">
        <f>E142+E148+E154</f>
        <v>173295884</v>
      </c>
    </row>
    <row r="465" spans="1:7" ht="12.6" customHeight="1" x14ac:dyDescent="0.25">
      <c r="A465" s="179" t="s">
        <v>247</v>
      </c>
      <c r="B465" s="194">
        <f>D361</f>
        <v>222882635</v>
      </c>
      <c r="C465" s="194">
        <f>CE75</f>
        <v>222882635</v>
      </c>
      <c r="D465" s="194">
        <f>D463+D464</f>
        <v>222882638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8">C267</f>
        <v>2015497</v>
      </c>
      <c r="C468" s="179">
        <f>E195</f>
        <v>2015497</v>
      </c>
      <c r="D468" s="179"/>
    </row>
    <row r="469" spans="1:7" ht="12.6" customHeight="1" x14ac:dyDescent="0.25">
      <c r="A469" s="179" t="s">
        <v>333</v>
      </c>
      <c r="B469" s="179">
        <f t="shared" si="18"/>
        <v>2729456</v>
      </c>
      <c r="C469" s="179">
        <f>E196</f>
        <v>2729456</v>
      </c>
      <c r="D469" s="179"/>
    </row>
    <row r="470" spans="1:7" ht="12.6" customHeight="1" x14ac:dyDescent="0.25">
      <c r="A470" s="179" t="s">
        <v>334</v>
      </c>
      <c r="B470" s="179">
        <f t="shared" si="18"/>
        <v>36033915</v>
      </c>
      <c r="C470" s="179">
        <f>E197</f>
        <v>36033915</v>
      </c>
      <c r="D470" s="179"/>
    </row>
    <row r="471" spans="1:7" ht="12.6" customHeight="1" x14ac:dyDescent="0.25">
      <c r="A471" s="179" t="s">
        <v>494</v>
      </c>
      <c r="B471" s="179">
        <f t="shared" si="18"/>
        <v>21304669</v>
      </c>
      <c r="C471" s="179">
        <f>E198</f>
        <v>21304668</v>
      </c>
      <c r="D471" s="179"/>
    </row>
    <row r="472" spans="1:7" ht="12.6" customHeight="1" x14ac:dyDescent="0.25">
      <c r="A472" s="179" t="s">
        <v>377</v>
      </c>
      <c r="B472" s="179">
        <f t="shared" si="18"/>
        <v>1750935</v>
      </c>
      <c r="C472" s="179">
        <f>E199</f>
        <v>1750936</v>
      </c>
      <c r="D472" s="179"/>
    </row>
    <row r="473" spans="1:7" ht="12.6" customHeight="1" x14ac:dyDescent="0.25">
      <c r="A473" s="179" t="s">
        <v>495</v>
      </c>
      <c r="B473" s="179">
        <f t="shared" si="18"/>
        <v>33847876</v>
      </c>
      <c r="C473" s="179">
        <f>SUM(E200:E201)</f>
        <v>33847876</v>
      </c>
      <c r="D473" s="179"/>
    </row>
    <row r="474" spans="1:7" ht="12.6" customHeight="1" x14ac:dyDescent="0.25">
      <c r="A474" s="179" t="s">
        <v>339</v>
      </c>
      <c r="B474" s="179">
        <f t="shared" si="18"/>
        <v>1150715</v>
      </c>
      <c r="C474" s="179">
        <f>E202</f>
        <v>1150715</v>
      </c>
      <c r="D474" s="179"/>
    </row>
    <row r="475" spans="1:7" ht="12.6" customHeight="1" x14ac:dyDescent="0.25">
      <c r="A475" s="179" t="s">
        <v>340</v>
      </c>
      <c r="B475" s="179">
        <f t="shared" si="18"/>
        <v>6155456</v>
      </c>
      <c r="C475" s="179">
        <f>E203</f>
        <v>6155456</v>
      </c>
      <c r="D475" s="179"/>
    </row>
    <row r="476" spans="1:7" ht="12.6" customHeight="1" x14ac:dyDescent="0.25">
      <c r="A476" s="179" t="s">
        <v>203</v>
      </c>
      <c r="B476" s="179">
        <f>D275</f>
        <v>104988519</v>
      </c>
      <c r="C476" s="179">
        <f>E204</f>
        <v>104988519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58500463</v>
      </c>
      <c r="C478" s="179">
        <f>E217</f>
        <v>58500463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156199063</v>
      </c>
    </row>
    <row r="482" spans="1:12" ht="12.6" customHeight="1" x14ac:dyDescent="0.25">
      <c r="A482" s="180" t="s">
        <v>499</v>
      </c>
      <c r="C482" s="180">
        <f>D339</f>
        <v>156199063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152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3156495</v>
      </c>
      <c r="C496" s="240">
        <f>C71</f>
        <v>2776885</v>
      </c>
      <c r="D496" s="240">
        <f>'Prior Year'!C59</f>
        <v>1272</v>
      </c>
      <c r="E496" s="180">
        <f>C59</f>
        <v>899</v>
      </c>
      <c r="F496" s="263">
        <f t="shared" ref="F496:G511" si="19">IF(B496=0,"",IF(D496=0,"",B496/D496))</f>
        <v>2481.5212264150941</v>
      </c>
      <c r="G496" s="264">
        <f t="shared" si="19"/>
        <v>3088.8598442714128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9"/>
        <v/>
      </c>
      <c r="G497" s="263" t="str">
        <f t="shared" si="19"/>
        <v/>
      </c>
      <c r="H497" s="265" t="str">
        <f t="shared" ref="H497:H550" si="20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7727646</v>
      </c>
      <c r="C498" s="240">
        <f>E71</f>
        <v>7453079</v>
      </c>
      <c r="D498" s="240">
        <f>'Prior Year'!E59</f>
        <v>3815</v>
      </c>
      <c r="E498" s="180">
        <f>E59</f>
        <v>3291</v>
      </c>
      <c r="F498" s="263">
        <f t="shared" si="19"/>
        <v>2025.5952817824377</v>
      </c>
      <c r="G498" s="263">
        <f t="shared" si="19"/>
        <v>2264.6852020662413</v>
      </c>
      <c r="H498" s="265" t="str">
        <f t="shared" si="20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9"/>
        <v/>
      </c>
      <c r="G499" s="263" t="str">
        <f t="shared" si="19"/>
        <v/>
      </c>
      <c r="H499" s="265" t="str">
        <f t="shared" si="20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9"/>
        <v/>
      </c>
      <c r="G500" s="263" t="str">
        <f t="shared" si="19"/>
        <v/>
      </c>
      <c r="H500" s="265" t="str">
        <f t="shared" si="20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9"/>
        <v/>
      </c>
      <c r="G501" s="263" t="str">
        <f t="shared" si="19"/>
        <v/>
      </c>
      <c r="H501" s="265" t="str">
        <f t="shared" si="20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9"/>
        <v/>
      </c>
      <c r="G502" s="263" t="str">
        <f t="shared" si="19"/>
        <v/>
      </c>
      <c r="H502" s="265" t="str">
        <f t="shared" si="20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47568</v>
      </c>
      <c r="C503" s="240">
        <f>J71</f>
        <v>45742</v>
      </c>
      <c r="D503" s="240">
        <f>'Prior Year'!J59</f>
        <v>545</v>
      </c>
      <c r="E503" s="180">
        <f>J59</f>
        <v>582</v>
      </c>
      <c r="F503" s="263">
        <f t="shared" si="19"/>
        <v>87.280733944954122</v>
      </c>
      <c r="G503" s="263">
        <f t="shared" si="19"/>
        <v>78.594501718213053</v>
      </c>
      <c r="H503" s="265" t="str">
        <f t="shared" si="20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9"/>
        <v/>
      </c>
      <c r="G504" s="263" t="str">
        <f t="shared" si="19"/>
        <v/>
      </c>
      <c r="H504" s="265" t="str">
        <f t="shared" si="20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9"/>
        <v/>
      </c>
      <c r="G505" s="263" t="str">
        <f t="shared" si="19"/>
        <v/>
      </c>
      <c r="H505" s="265" t="str">
        <f t="shared" si="20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9"/>
        <v/>
      </c>
      <c r="G506" s="263" t="str">
        <f t="shared" si="19"/>
        <v/>
      </c>
      <c r="H506" s="265" t="str">
        <f t="shared" si="20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9"/>
        <v/>
      </c>
      <c r="G507" s="263" t="str">
        <f t="shared" si="19"/>
        <v/>
      </c>
      <c r="H507" s="265" t="str">
        <f t="shared" si="20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124922</v>
      </c>
      <c r="C508" s="240">
        <f>O71</f>
        <v>114517</v>
      </c>
      <c r="D508" s="240">
        <f>'Prior Year'!O59</f>
        <v>658</v>
      </c>
      <c r="E508" s="180">
        <f>O59</f>
        <v>747</v>
      </c>
      <c r="F508" s="263">
        <f t="shared" si="19"/>
        <v>189.85106382978722</v>
      </c>
      <c r="G508" s="263">
        <f t="shared" si="19"/>
        <v>153.30254350736277</v>
      </c>
      <c r="H508" s="265" t="str">
        <f t="shared" si="20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3538608</v>
      </c>
      <c r="C509" s="240">
        <f>P71</f>
        <v>3127337</v>
      </c>
      <c r="D509" s="240">
        <f>'Prior Year'!P59</f>
        <v>121810</v>
      </c>
      <c r="E509" s="180">
        <f>P59</f>
        <v>109409</v>
      </c>
      <c r="F509" s="263">
        <f t="shared" si="19"/>
        <v>29.050225761431737</v>
      </c>
      <c r="G509" s="263">
        <f t="shared" si="19"/>
        <v>28.583909916003254</v>
      </c>
      <c r="H509" s="265" t="str">
        <f t="shared" si="20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1841985</v>
      </c>
      <c r="C510" s="240">
        <f>Q71</f>
        <v>1838349</v>
      </c>
      <c r="D510" s="240">
        <f>'Prior Year'!Q59</f>
        <v>123269</v>
      </c>
      <c r="E510" s="180">
        <f>Q59</f>
        <v>117610</v>
      </c>
      <c r="F510" s="263">
        <f t="shared" si="19"/>
        <v>14.942808005256795</v>
      </c>
      <c r="G510" s="263">
        <f t="shared" si="19"/>
        <v>15.630890230422583</v>
      </c>
      <c r="H510" s="265" t="str">
        <f t="shared" si="20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-154055</v>
      </c>
      <c r="C511" s="240">
        <f>R71</f>
        <v>-186382</v>
      </c>
      <c r="D511" s="240">
        <f>'Prior Year'!R59</f>
        <v>121810</v>
      </c>
      <c r="E511" s="180">
        <f>R59</f>
        <v>109409</v>
      </c>
      <c r="F511" s="263">
        <f t="shared" si="19"/>
        <v>-1.2647155405960102</v>
      </c>
      <c r="G511" s="263">
        <f t="shared" si="19"/>
        <v>-1.7035344441499327</v>
      </c>
      <c r="H511" s="265">
        <f t="shared" si="20"/>
        <v>0.34697043680440953</v>
      </c>
      <c r="I511" s="267" t="s">
        <v>1282</v>
      </c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2886004</v>
      </c>
      <c r="C512" s="240">
        <f>S71</f>
        <v>3729203</v>
      </c>
      <c r="D512" s="181" t="s">
        <v>529</v>
      </c>
      <c r="E512" s="181" t="s">
        <v>529</v>
      </c>
      <c r="F512" s="263" t="str">
        <f t="shared" ref="F512:G527" si="21">IF(B512=0,"",IF(D512=0,"",B512/D512))</f>
        <v/>
      </c>
      <c r="G512" s="263" t="str">
        <f t="shared" si="21"/>
        <v/>
      </c>
      <c r="H512" s="265" t="str">
        <f t="shared" si="20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21"/>
        <v/>
      </c>
      <c r="G513" s="263" t="str">
        <f t="shared" si="21"/>
        <v/>
      </c>
      <c r="H513" s="265" t="str">
        <f t="shared" si="20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4362009</v>
      </c>
      <c r="C514" s="240">
        <f>U71</f>
        <v>4627117</v>
      </c>
      <c r="D514" s="240">
        <f>'Prior Year'!U59</f>
        <v>169949</v>
      </c>
      <c r="E514" s="180">
        <f>U59</f>
        <v>204576</v>
      </c>
      <c r="F514" s="263">
        <f t="shared" si="21"/>
        <v>25.66657644352129</v>
      </c>
      <c r="G514" s="263">
        <f t="shared" si="21"/>
        <v>22.618083255122791</v>
      </c>
      <c r="H514" s="265" t="str">
        <f t="shared" si="20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21"/>
        <v/>
      </c>
      <c r="G515" s="263" t="str">
        <f t="shared" si="21"/>
        <v/>
      </c>
      <c r="H515" s="265" t="str">
        <f t="shared" si="20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526079</v>
      </c>
      <c r="C516" s="240">
        <f>W71</f>
        <v>449103</v>
      </c>
      <c r="D516" s="240">
        <f>'Prior Year'!W59</f>
        <v>1737</v>
      </c>
      <c r="E516" s="180">
        <f>W59</f>
        <v>1833</v>
      </c>
      <c r="F516" s="263">
        <f t="shared" si="21"/>
        <v>302.8664363845711</v>
      </c>
      <c r="G516" s="263">
        <f t="shared" si="21"/>
        <v>245.00981996726676</v>
      </c>
      <c r="H516" s="265" t="str">
        <f t="shared" si="20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845505</v>
      </c>
      <c r="C517" s="240">
        <f>X71</f>
        <v>776034</v>
      </c>
      <c r="D517" s="240">
        <f>'Prior Year'!X59</f>
        <v>25218</v>
      </c>
      <c r="E517" s="180">
        <f>X59</f>
        <v>26503</v>
      </c>
      <c r="F517" s="263">
        <f t="shared" si="21"/>
        <v>33.527837259100643</v>
      </c>
      <c r="G517" s="263">
        <f t="shared" si="21"/>
        <v>29.280987058068899</v>
      </c>
      <c r="H517" s="265" t="str">
        <f t="shared" si="20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3187440</v>
      </c>
      <c r="C518" s="240">
        <f>Y71</f>
        <v>3077000</v>
      </c>
      <c r="D518" s="240">
        <f>'Prior Year'!Y59</f>
        <v>35256</v>
      </c>
      <c r="E518" s="180">
        <f>Y59</f>
        <v>36371</v>
      </c>
      <c r="F518" s="263">
        <f t="shared" si="21"/>
        <v>90.408441116405712</v>
      </c>
      <c r="G518" s="263">
        <f t="shared" si="21"/>
        <v>84.600368425393853</v>
      </c>
      <c r="H518" s="265" t="str">
        <f t="shared" si="20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21"/>
        <v/>
      </c>
      <c r="G519" s="263" t="str">
        <f t="shared" si="21"/>
        <v/>
      </c>
      <c r="H519" s="265" t="str">
        <f t="shared" si="20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232230</v>
      </c>
      <c r="C520" s="240">
        <f>AA71</f>
        <v>214320</v>
      </c>
      <c r="D520" s="240">
        <f>'Prior Year'!AA59</f>
        <v>0</v>
      </c>
      <c r="E520" s="180">
        <f>AA59</f>
        <v>0</v>
      </c>
      <c r="F520" s="263" t="str">
        <f t="shared" si="21"/>
        <v/>
      </c>
      <c r="G520" s="263" t="str">
        <f t="shared" si="21"/>
        <v/>
      </c>
      <c r="H520" s="265" t="str">
        <f t="shared" si="20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2333334</v>
      </c>
      <c r="C521" s="240">
        <f>AB71</f>
        <v>741964</v>
      </c>
      <c r="D521" s="181" t="s">
        <v>529</v>
      </c>
      <c r="E521" s="181" t="s">
        <v>529</v>
      </c>
      <c r="F521" s="263" t="str">
        <f t="shared" si="21"/>
        <v/>
      </c>
      <c r="G521" s="263" t="str">
        <f t="shared" si="21"/>
        <v/>
      </c>
      <c r="H521" s="265" t="str">
        <f t="shared" si="20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1204791</v>
      </c>
      <c r="C522" s="240">
        <f>AC71</f>
        <v>1144642</v>
      </c>
      <c r="D522" s="240">
        <f>'Prior Year'!AC59</f>
        <v>6073</v>
      </c>
      <c r="E522" s="180">
        <f>AC59</f>
        <v>6206</v>
      </c>
      <c r="F522" s="263">
        <f t="shared" si="21"/>
        <v>198.38481804709369</v>
      </c>
      <c r="G522" s="263">
        <f t="shared" si="21"/>
        <v>184.44118594908153</v>
      </c>
      <c r="H522" s="265" t="str">
        <f t="shared" si="20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21"/>
        <v/>
      </c>
      <c r="G523" s="263" t="str">
        <f t="shared" si="21"/>
        <v/>
      </c>
      <c r="H523" s="265" t="str">
        <f t="shared" si="20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2062824</v>
      </c>
      <c r="C524" s="240">
        <f>AE71</f>
        <v>2214269</v>
      </c>
      <c r="D524" s="240">
        <f>'Prior Year'!AE59</f>
        <v>21053</v>
      </c>
      <c r="E524" s="180">
        <f>AE59</f>
        <v>22498</v>
      </c>
      <c r="F524" s="263">
        <f t="shared" si="21"/>
        <v>97.982425307557122</v>
      </c>
      <c r="G524" s="263">
        <f t="shared" si="21"/>
        <v>98.42070406258334</v>
      </c>
      <c r="H524" s="265" t="str">
        <f t="shared" si="20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21"/>
        <v/>
      </c>
      <c r="G525" s="263" t="str">
        <f t="shared" si="21"/>
        <v/>
      </c>
      <c r="H525" s="265" t="str">
        <f t="shared" si="20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6660820</v>
      </c>
      <c r="C526" s="240">
        <f>AG71</f>
        <v>6441027</v>
      </c>
      <c r="D526" s="240">
        <f>'Prior Year'!AG59</f>
        <v>20750</v>
      </c>
      <c r="E526" s="180">
        <f>AG59</f>
        <v>19855</v>
      </c>
      <c r="F526" s="263">
        <f t="shared" si="21"/>
        <v>321.00337349397591</v>
      </c>
      <c r="G526" s="263">
        <f t="shared" si="21"/>
        <v>324.40327373457569</v>
      </c>
      <c r="H526" s="265" t="str">
        <f t="shared" si="20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21"/>
        <v/>
      </c>
      <c r="G527" s="263" t="str">
        <f t="shared" si="21"/>
        <v/>
      </c>
      <c r="H527" s="265" t="str">
        <f t="shared" si="20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22">IF(B528=0,"",IF(D528=0,"",B528/D528))</f>
        <v/>
      </c>
      <c r="G528" s="263" t="str">
        <f t="shared" si="22"/>
        <v/>
      </c>
      <c r="H528" s="265" t="str">
        <f t="shared" si="20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22"/>
        <v/>
      </c>
      <c r="G529" s="263" t="str">
        <f t="shared" si="22"/>
        <v/>
      </c>
      <c r="H529" s="265" t="str">
        <f t="shared" si="20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22"/>
        <v/>
      </c>
      <c r="G530" s="263" t="str">
        <f t="shared" si="22"/>
        <v/>
      </c>
      <c r="H530" s="265" t="str">
        <f t="shared" si="20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22"/>
        <v/>
      </c>
      <c r="G531" s="263" t="str">
        <f t="shared" si="22"/>
        <v/>
      </c>
      <c r="H531" s="265" t="str">
        <f t="shared" si="20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22"/>
        <v/>
      </c>
      <c r="G532" s="263" t="str">
        <f t="shared" si="22"/>
        <v/>
      </c>
      <c r="H532" s="265" t="str">
        <f t="shared" si="20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22"/>
        <v/>
      </c>
      <c r="G533" s="263" t="str">
        <f t="shared" si="22"/>
        <v/>
      </c>
      <c r="H533" s="265" t="str">
        <f t="shared" si="20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22"/>
        <v/>
      </c>
      <c r="G534" s="263" t="str">
        <f t="shared" si="22"/>
        <v/>
      </c>
      <c r="H534" s="265" t="str">
        <f t="shared" si="20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19552442</v>
      </c>
      <c r="C535" s="240">
        <f>AP71</f>
        <v>22765699</v>
      </c>
      <c r="D535" s="240">
        <f>'Prior Year'!AP59</f>
        <v>0</v>
      </c>
      <c r="E535" s="180">
        <f>AP59</f>
        <v>85586</v>
      </c>
      <c r="F535" s="263" t="str">
        <f t="shared" si="22"/>
        <v/>
      </c>
      <c r="G535" s="263">
        <f t="shared" si="22"/>
        <v>265.99793190475077</v>
      </c>
      <c r="H535" s="265" t="str">
        <f t="shared" si="20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22"/>
        <v/>
      </c>
      <c r="G536" s="263" t="str">
        <f t="shared" si="22"/>
        <v/>
      </c>
      <c r="H536" s="265" t="str">
        <f t="shared" si="20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22"/>
        <v/>
      </c>
      <c r="G537" s="263" t="str">
        <f t="shared" si="22"/>
        <v/>
      </c>
      <c r="H537" s="265" t="str">
        <f t="shared" si="20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22"/>
        <v/>
      </c>
      <c r="G538" s="263" t="str">
        <f t="shared" si="22"/>
        <v/>
      </c>
      <c r="H538" s="265" t="str">
        <f t="shared" si="20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22"/>
        <v/>
      </c>
      <c r="G539" s="263" t="str">
        <f t="shared" si="22"/>
        <v/>
      </c>
      <c r="H539" s="265" t="str">
        <f t="shared" si="20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22"/>
        <v/>
      </c>
      <c r="G540" s="263" t="str">
        <f t="shared" si="22"/>
        <v/>
      </c>
      <c r="H540" s="265" t="str">
        <f t="shared" si="20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400385</v>
      </c>
      <c r="C541" s="240">
        <f>AV71</f>
        <v>363071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1527196</v>
      </c>
      <c r="C544" s="240">
        <f>AY71</f>
        <v>1353638</v>
      </c>
      <c r="D544" s="240">
        <f>'Prior Year'!AY59</f>
        <v>32000</v>
      </c>
      <c r="E544" s="180">
        <f>AY59</f>
        <v>28442</v>
      </c>
      <c r="F544" s="263">
        <f t="shared" ref="F544:G550" si="23">IF(B544=0,"",IF(D544=0,"",B544/D544))</f>
        <v>47.724874999999997</v>
      </c>
      <c r="G544" s="263">
        <f t="shared" si="23"/>
        <v>47.59292595457422</v>
      </c>
      <c r="H544" s="265" t="str">
        <f t="shared" si="20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23"/>
        <v/>
      </c>
      <c r="G545" s="263" t="str">
        <f t="shared" si="23"/>
        <v/>
      </c>
      <c r="H545" s="265" t="str">
        <f t="shared" si="20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338547</v>
      </c>
      <c r="C546" s="240">
        <f>BA71</f>
        <v>335672</v>
      </c>
      <c r="D546" s="240">
        <f>'Prior Year'!BA59</f>
        <v>0</v>
      </c>
      <c r="E546" s="180">
        <f>BA59</f>
        <v>0</v>
      </c>
      <c r="F546" s="263" t="str">
        <f t="shared" si="23"/>
        <v/>
      </c>
      <c r="G546" s="263" t="str">
        <f t="shared" si="23"/>
        <v/>
      </c>
      <c r="H546" s="265" t="str">
        <f t="shared" si="20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591552</v>
      </c>
      <c r="C549" s="240">
        <f>BD71</f>
        <v>584236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3378301</v>
      </c>
      <c r="C550" s="240">
        <f>BE71</f>
        <v>3014216</v>
      </c>
      <c r="D550" s="240">
        <f>'Prior Year'!BE59</f>
        <v>137649</v>
      </c>
      <c r="E550" s="180">
        <f>BE59</f>
        <v>186976.5</v>
      </c>
      <c r="F550" s="263">
        <f t="shared" si="23"/>
        <v>24.542866275817477</v>
      </c>
      <c r="G550" s="263">
        <f t="shared" si="23"/>
        <v>16.120828018494304</v>
      </c>
      <c r="H550" s="265">
        <f t="shared" si="20"/>
        <v>-0.34315626229938578</v>
      </c>
      <c r="I550" s="267" t="s">
        <v>1281</v>
      </c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1943832</v>
      </c>
      <c r="C551" s="240">
        <f>BF71</f>
        <v>1747286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4475371</v>
      </c>
      <c r="C553" s="240">
        <f>BH71</f>
        <v>5130173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748453</v>
      </c>
      <c r="C555" s="240">
        <f>BJ71</f>
        <v>879918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1877492</v>
      </c>
      <c r="C556" s="240">
        <f>BK71</f>
        <v>1892076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1520833</v>
      </c>
      <c r="C557" s="240">
        <f>BL71</f>
        <v>1552287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170718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4195003</v>
      </c>
      <c r="C559" s="240">
        <f>BN71</f>
        <v>4293308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254218</v>
      </c>
      <c r="C560" s="240">
        <f>BO71</f>
        <v>277958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559728</v>
      </c>
      <c r="C561" s="240">
        <f>BP71</f>
        <v>287844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787958</v>
      </c>
      <c r="C563" s="240">
        <f>BR71</f>
        <v>810604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2112525</v>
      </c>
      <c r="C567" s="240">
        <f>BV71</f>
        <v>2114987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324611</v>
      </c>
      <c r="C568" s="240">
        <f>BW71</f>
        <v>291675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3623199</v>
      </c>
      <c r="C570" s="240">
        <f>BY71</f>
        <v>3731436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368365</v>
      </c>
      <c r="C572" s="240">
        <f>CA71</f>
        <v>353276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993888</v>
      </c>
      <c r="C574" s="240">
        <f>CC71</f>
        <v>2024203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216767.14999999991</v>
      </c>
      <c r="C575" s="240">
        <f>CD71</f>
        <v>-516622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162235.22999999998</v>
      </c>
      <c r="E612" s="180">
        <f>SUM(C624:D647)+SUM(C668:D713)</f>
        <v>84180706.415486693</v>
      </c>
      <c r="F612" s="180">
        <f>CE64-(AX64+BD64+BE64+BG64+BJ64+BN64+BP64+BQ64+CB64+CC64+CD64)</f>
        <v>11624837</v>
      </c>
      <c r="G612" s="180">
        <f>CE77-(AX77+AY77+BD77+BE77+BG77+BJ77+BN77+BP77+BQ77+CB77+CC77+CD77)</f>
        <v>28442</v>
      </c>
      <c r="H612" s="197">
        <f>CE60-(AX60+AY60+AZ60+BD60+BE60+BG60+BJ60+BN60+BO60+BP60+BQ60+BR60+CB60+CC60+CD60)</f>
        <v>509.46000000000009</v>
      </c>
      <c r="I612" s="180">
        <f>CE78-(AX78+AY78+AZ78+BD78+BE78+BF78+BG78+BJ78+BN78+BO78+BP78+BQ78+BR78+CB78+CC78+CD78)</f>
        <v>136136.65999999997</v>
      </c>
      <c r="J612" s="180">
        <f>CE79-(AX79+AY79+AZ79+BA79+BD79+BE79+BF79+BG79+BJ79+BN79+BO79+BP79+BQ79+BR79+CB79+CC79+CD79)</f>
        <v>298490</v>
      </c>
      <c r="K612" s="180">
        <f>CE75-(AW75+AX75+AY75+AZ75+BA75+BB75+BC75+BD75+BE75+BF75+BG75+BH75+BI75+BJ75+BK75+BL75+BM75+BN75+BO75+BP75+BQ75+BR75+BS75+BT75+BU75+BV75+BW75+BX75+CB75+CC75+CD75)</f>
        <v>222882635</v>
      </c>
      <c r="L612" s="197">
        <f>CE80-(AW80+AX80+AY80+AZ80+BA80+BB80+BC80+BD80+BE80+BF80+BG80+BH80+BI80+BJ80+BK80+BL80+BM80+BN80+BO80+BP80+BQ80+BR80+BS80+BT80+BU80+BV80+BW80+BX80+BY80+BZ80+CA80+CB80+CC80+CD80)</f>
        <v>133.87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3014216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-516622</v>
      </c>
      <c r="D615" s="266">
        <f>SUM(C614:C615)</f>
        <v>2497594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879918</v>
      </c>
      <c r="D617" s="180">
        <f>(D615/D612)*BJ76</f>
        <v>47254.62393710664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4293308</v>
      </c>
      <c r="D619" s="180">
        <f>(D615/D612)*BN76</f>
        <v>68929.093733833273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2024203</v>
      </c>
      <c r="D620" s="180">
        <f>(D615/D612)*CC76</f>
        <v>88983.866842362186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287844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7690440.584513302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584236</v>
      </c>
      <c r="D624" s="180">
        <f>(D615/D612)*BD76</f>
        <v>52310.922580502403</v>
      </c>
      <c r="E624" s="180">
        <f>(E623/E612)*SUM(C624:D624)</f>
        <v>58152.592153343488</v>
      </c>
      <c r="F624" s="180">
        <f>SUM(C624:E624)</f>
        <v>694699.51473384595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1353638</v>
      </c>
      <c r="D625" s="180">
        <f>(D615/D612)*AY76</f>
        <v>77488.962116797949</v>
      </c>
      <c r="E625" s="180">
        <f>(E623/E612)*SUM(C625:D625)</f>
        <v>130742.51024614216</v>
      </c>
      <c r="F625" s="180">
        <f>(F624/F612)*AY64</f>
        <v>43021.177901840318</v>
      </c>
      <c r="G625" s="180">
        <f>SUM(C625:F625)</f>
        <v>1604890.6502647805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810604</v>
      </c>
      <c r="D626" s="180">
        <f>(D615/D612)*BR76</f>
        <v>29167.933944433651</v>
      </c>
      <c r="E626" s="180">
        <f>(E623/E612)*SUM(C626:D626)</f>
        <v>76718.483813452316</v>
      </c>
      <c r="F626" s="180">
        <f>(F624/F612)*BR64</f>
        <v>2011.5792045476414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277958</v>
      </c>
      <c r="D627" s="180">
        <f>(D615/D612)*BO76</f>
        <v>4909.5853134981853</v>
      </c>
      <c r="E627" s="180">
        <f>(E623/E612)*SUM(C627:D627)</f>
        <v>25841.745107261322</v>
      </c>
      <c r="F627" s="180">
        <f>(F624/F612)*BO64</f>
        <v>893.88912217770178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1228105.2165053708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1747286</v>
      </c>
      <c r="D629" s="180">
        <f>(D615/D612)*BF76</f>
        <v>32739.70305981013</v>
      </c>
      <c r="E629" s="180">
        <f>(E623/E612)*SUM(C629:D629)</f>
        <v>162616.61954608632</v>
      </c>
      <c r="F629" s="180">
        <f>(F624/F612)*BF64</f>
        <v>8926.0428355443528</v>
      </c>
      <c r="G629" s="180">
        <f>(G625/G612)*BF77</f>
        <v>0</v>
      </c>
      <c r="H629" s="180">
        <f>(H628/H612)*BF60</f>
        <v>57685.702176762687</v>
      </c>
      <c r="I629" s="180">
        <f>SUM(C629:H629)</f>
        <v>2009254.0676182036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335672</v>
      </c>
      <c r="D630" s="180">
        <f>(D615/D612)*BA76</f>
        <v>22460.071184415374</v>
      </c>
      <c r="E630" s="180">
        <f>(E623/E612)*SUM(C630:D630)</f>
        <v>32717.632485271555</v>
      </c>
      <c r="F630" s="180">
        <f>(F624/F612)*BA64</f>
        <v>3634.121225957374</v>
      </c>
      <c r="G630" s="180">
        <f>(G625/G612)*BA77</f>
        <v>0</v>
      </c>
      <c r="H630" s="180">
        <f>(H628/H612)*BA60</f>
        <v>3591.7967506634518</v>
      </c>
      <c r="I630" s="180">
        <f>(I629/I612)*BA78</f>
        <v>21532.488286918648</v>
      </c>
      <c r="J630" s="180">
        <f>SUM(C630:I630)</f>
        <v>419608.10993322637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1892076</v>
      </c>
      <c r="D635" s="180">
        <f>(D615/D612)*BK76</f>
        <v>42097.334795900992</v>
      </c>
      <c r="E635" s="180">
        <f>(E623/E612)*SUM(C635:D635)</f>
        <v>176698.98180684962</v>
      </c>
      <c r="F635" s="180">
        <f>(F624/F612)*BK64</f>
        <v>587.67921028850913</v>
      </c>
      <c r="G635" s="180">
        <f>(G625/G612)*BK77</f>
        <v>0</v>
      </c>
      <c r="H635" s="180">
        <f>(H628/H612)*BK60</f>
        <v>52695.756355371181</v>
      </c>
      <c r="I635" s="180">
        <f>(I629/I612)*BK78</f>
        <v>40358.748686077495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5130173</v>
      </c>
      <c r="D636" s="180">
        <f>(D615/D612)*BH76</f>
        <v>50047.411468766681</v>
      </c>
      <c r="E636" s="180">
        <f>(E623/E612)*SUM(C636:D636)</f>
        <v>473245.93704947323</v>
      </c>
      <c r="F636" s="180">
        <f>(F624/F612)*BH64</f>
        <v>25834.459357795775</v>
      </c>
      <c r="G636" s="180">
        <f>(G625/G612)*BH77</f>
        <v>0</v>
      </c>
      <c r="H636" s="180">
        <f>(H628/H612)*BH60</f>
        <v>13957.384688819722</v>
      </c>
      <c r="I636" s="180">
        <f>(I629/I612)*BH78</f>
        <v>47980.493578736947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1552287</v>
      </c>
      <c r="D637" s="180">
        <f>(D615/D612)*BL76</f>
        <v>33217.406588322403</v>
      </c>
      <c r="E637" s="180">
        <f>(E623/E612)*SUM(C637:D637)</f>
        <v>144845.8673555195</v>
      </c>
      <c r="F637" s="180">
        <f>(F624/F612)*BL64</f>
        <v>923.94836996854167</v>
      </c>
      <c r="G637" s="180">
        <f>(G625/G612)*BL77</f>
        <v>0</v>
      </c>
      <c r="H637" s="180">
        <f>(H628/H612)*BL60</f>
        <v>55371.524404523145</v>
      </c>
      <c r="I637" s="180">
        <f>(I629/I612)*BL78</f>
        <v>31845.554380128928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2114987</v>
      </c>
      <c r="D642" s="180">
        <f>(D615/D612)*BV76</f>
        <v>64683.182255789958</v>
      </c>
      <c r="E642" s="180">
        <f>(E623/E612)*SUM(C642:D642)</f>
        <v>199126.6733702489</v>
      </c>
      <c r="F642" s="180">
        <f>(F624/F612)*BV64</f>
        <v>710.78467837823132</v>
      </c>
      <c r="G642" s="180">
        <f>(G625/G612)*BV77</f>
        <v>0</v>
      </c>
      <c r="H642" s="180">
        <f>(H628/H612)*BV60</f>
        <v>50092.306361601703</v>
      </c>
      <c r="I642" s="180">
        <f>(I629/I612)*BV78</f>
        <v>62011.818789330122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291675</v>
      </c>
      <c r="D643" s="180">
        <f>(D615/D612)*BW76</f>
        <v>15710.796162337861</v>
      </c>
      <c r="E643" s="180">
        <f>(E623/E612)*SUM(C643:D643)</f>
        <v>28081.638923796021</v>
      </c>
      <c r="F643" s="180">
        <f>(F624/F612)*BW64</f>
        <v>307.10631092868095</v>
      </c>
      <c r="G643" s="180">
        <f>(G625/G612)*BW77</f>
        <v>160139.21895265617</v>
      </c>
      <c r="H643" s="180">
        <f>(H628/H612)*BW60</f>
        <v>4821.2036921657073</v>
      </c>
      <c r="I643" s="180">
        <f>(I629/I612)*BW78</f>
        <v>15061.952901486855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12771653.170495262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3731436</v>
      </c>
      <c r="D645" s="180">
        <f>(D615/D612)*BY76</f>
        <v>37339.697075906392</v>
      </c>
      <c r="E645" s="180">
        <f>(E623/E612)*SUM(C645:D645)</f>
        <v>344301.52476586809</v>
      </c>
      <c r="F645" s="180">
        <f>(F624/F612)*BY64</f>
        <v>531.08655092881634</v>
      </c>
      <c r="G645" s="180">
        <f>(G625/G612)*BY77</f>
        <v>0</v>
      </c>
      <c r="H645" s="180">
        <f>(H628/H612)*BY60</f>
        <v>66436.186878043445</v>
      </c>
      <c r="I645" s="180">
        <f>(I629/I612)*BY78</f>
        <v>35797.597582056507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353276</v>
      </c>
      <c r="D647" s="180">
        <f>(D615/D612)*CA76</f>
        <v>16103.058034928667</v>
      </c>
      <c r="E647" s="180">
        <f>(E623/E612)*SUM(C647:D647)</f>
        <v>33745.115952822533</v>
      </c>
      <c r="F647" s="180">
        <f>(F624/F612)*CA64</f>
        <v>358.32057605144405</v>
      </c>
      <c r="G647" s="180">
        <f>(G625/G612)*CA77</f>
        <v>0</v>
      </c>
      <c r="H647" s="180">
        <f>(H628/H612)*CA60</f>
        <v>5375.6421167647632</v>
      </c>
      <c r="I647" s="180">
        <f>(I629/I612)*CA78</f>
        <v>15438.014673847891</v>
      </c>
      <c r="J647" s="180">
        <f>(J630/J612)*CA79</f>
        <v>0</v>
      </c>
      <c r="K647" s="180">
        <v>0</v>
      </c>
      <c r="L647" s="180">
        <f>SUM(C645:K647)</f>
        <v>4640138.2442072174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30158171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2776885</v>
      </c>
      <c r="D668" s="180">
        <f>(D615/D612)*C76</f>
        <v>100216.59654083765</v>
      </c>
      <c r="E668" s="180">
        <f>(E623/E612)*SUM(C668:D668)</f>
        <v>262841.44937675563</v>
      </c>
      <c r="F668" s="180">
        <f>(F624/F612)*C64</f>
        <v>8827.1999014567791</v>
      </c>
      <c r="G668" s="180">
        <f>(G625/G612)*C77</f>
        <v>277281.22689688246</v>
      </c>
      <c r="H668" s="180">
        <f>(H628/H612)*C60</f>
        <v>44596.134152532795</v>
      </c>
      <c r="I668" s="180">
        <f>(I629/I612)*C78</f>
        <v>96077.731608783768</v>
      </c>
      <c r="J668" s="180">
        <f>(J630/J612)*C79</f>
        <v>50804.506325125803</v>
      </c>
      <c r="K668" s="180">
        <f>(K644/K612)*C75</f>
        <v>568547.53225621651</v>
      </c>
      <c r="L668" s="180">
        <f>(L647/L612)*C80</f>
        <v>641238.19763825741</v>
      </c>
      <c r="M668" s="180">
        <f t="shared" ref="M668:M713" si="24">ROUND(SUM(D668:L668),0)</f>
        <v>2050431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4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7453079</v>
      </c>
      <c r="D670" s="180">
        <f>(D615/D612)*E76</f>
        <v>296027.4730116264</v>
      </c>
      <c r="E670" s="180">
        <f>(E623/E612)*SUM(C670:D670)</f>
        <v>707929.94560568151</v>
      </c>
      <c r="F670" s="180">
        <f>(F624/F612)*E64</f>
        <v>8291.3325556506916</v>
      </c>
      <c r="G670" s="180">
        <f>(G625/G612)*E77</f>
        <v>950734.91900398303</v>
      </c>
      <c r="H670" s="180">
        <f>(H628/H612)*E60</f>
        <v>118191.8085134423</v>
      </c>
      <c r="I670" s="180">
        <f>(I629/I612)*E78</f>
        <v>283801.77617833717</v>
      </c>
      <c r="J670" s="180">
        <f>(J630/J612)*E79</f>
        <v>86322.676131728702</v>
      </c>
      <c r="K670" s="180">
        <f>(K644/K612)*E75</f>
        <v>1052790.8301675029</v>
      </c>
      <c r="L670" s="180">
        <f>(L647/L612)*E80</f>
        <v>1699454.5313623652</v>
      </c>
      <c r="M670" s="180">
        <f t="shared" si="24"/>
        <v>5203545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4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4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4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4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45742</v>
      </c>
      <c r="D675" s="180">
        <f>(D615/D612)*J76</f>
        <v>7411.2554193068927</v>
      </c>
      <c r="E675" s="180">
        <f>(E623/E612)*SUM(C675:D675)</f>
        <v>4855.886462369217</v>
      </c>
      <c r="F675" s="180">
        <f>(F624/F612)*J64</f>
        <v>1491.9665613242748</v>
      </c>
      <c r="G675" s="180">
        <f>(G625/G612)*J77</f>
        <v>0</v>
      </c>
      <c r="H675" s="180">
        <f>(H628/H612)*J60</f>
        <v>0</v>
      </c>
      <c r="I675" s="180">
        <f>(I629/I612)*J78</f>
        <v>7105.1765240316572</v>
      </c>
      <c r="J675" s="180">
        <f>(J630/J612)*J79</f>
        <v>0</v>
      </c>
      <c r="K675" s="180">
        <f>(K644/K612)*J75</f>
        <v>58673.213890825107</v>
      </c>
      <c r="L675" s="180">
        <f>(L647/L612)*J80</f>
        <v>0</v>
      </c>
      <c r="M675" s="180">
        <f t="shared" si="24"/>
        <v>79537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4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4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4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4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114517</v>
      </c>
      <c r="D680" s="180">
        <f>(D615/D612)*O76</f>
        <v>14989.083580428247</v>
      </c>
      <c r="E680" s="180">
        <f>(E623/E612)*SUM(C680:D680)</f>
        <v>11831.200800247394</v>
      </c>
      <c r="F680" s="180">
        <f>(F624/F612)*O64</f>
        <v>3449.6423036306883</v>
      </c>
      <c r="G680" s="180">
        <f>(G625/G612)*O77</f>
        <v>0</v>
      </c>
      <c r="H680" s="180">
        <f>(H628/H612)*O60</f>
        <v>0</v>
      </c>
      <c r="I680" s="180">
        <f>(I629/I612)*O78</f>
        <v>14370.046469450535</v>
      </c>
      <c r="J680" s="180">
        <f>(J630/J612)*O79</f>
        <v>39736.883793368317</v>
      </c>
      <c r="K680" s="180">
        <f>(K644/K612)*O75</f>
        <v>143752.45975305434</v>
      </c>
      <c r="L680" s="180">
        <f>(L647/L612)*O80</f>
        <v>0</v>
      </c>
      <c r="M680" s="180">
        <f t="shared" si="24"/>
        <v>228129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3127337</v>
      </c>
      <c r="D681" s="180">
        <f>(D615/D612)*P76</f>
        <v>100944.92892671959</v>
      </c>
      <c r="E681" s="180">
        <f>(E623/E612)*SUM(C681:D681)</f>
        <v>294923.99650261825</v>
      </c>
      <c r="F681" s="180">
        <f>(F624/F612)*P64</f>
        <v>39159.072520173097</v>
      </c>
      <c r="G681" s="180">
        <f>(G625/G612)*P77</f>
        <v>47962.768185256427</v>
      </c>
      <c r="H681" s="180">
        <f>(H628/H612)*P60</f>
        <v>46789.781832468179</v>
      </c>
      <c r="I681" s="180">
        <f>(I629/I612)*P78</f>
        <v>96775.984452206103</v>
      </c>
      <c r="J681" s="180">
        <f>(J630/J612)*P79</f>
        <v>51882.731459364084</v>
      </c>
      <c r="K681" s="180">
        <f>(K644/K612)*P75</f>
        <v>762846.55832931143</v>
      </c>
      <c r="L681" s="180">
        <f>(L647/L612)*P80</f>
        <v>672780.18465722026</v>
      </c>
      <c r="M681" s="180">
        <f t="shared" si="24"/>
        <v>2114066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1838349</v>
      </c>
      <c r="D682" s="180">
        <f>(D615/D612)*Q76</f>
        <v>111426.84969559325</v>
      </c>
      <c r="E682" s="180">
        <f>(E623/E612)*SUM(C682:D682)</f>
        <v>178124.37034199492</v>
      </c>
      <c r="F682" s="180">
        <f>(F624/F612)*Q64</f>
        <v>5426.7997850619804</v>
      </c>
      <c r="G682" s="180">
        <f>(G625/G612)*Q77</f>
        <v>0</v>
      </c>
      <c r="H682" s="180">
        <f>(H628/H612)*Q60</f>
        <v>32470.806866736039</v>
      </c>
      <c r="I682" s="180">
        <f>(I629/I612)*Q78</f>
        <v>106825.01031356634</v>
      </c>
      <c r="J682" s="180">
        <f>(J630/J612)*Q79</f>
        <v>36211.214123655664</v>
      </c>
      <c r="K682" s="180">
        <f>(K644/K612)*Q75</f>
        <v>293162.53223346412</v>
      </c>
      <c r="L682" s="180">
        <f>(L647/L612)*Q80</f>
        <v>466890.73092904472</v>
      </c>
      <c r="M682" s="180">
        <f t="shared" si="24"/>
        <v>1230538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-186382</v>
      </c>
      <c r="D683" s="180">
        <f>(D615/D612)*R76</f>
        <v>4790.8906887856601</v>
      </c>
      <c r="E683" s="180">
        <f>(E623/E612)*SUM(C683:D683)</f>
        <v>-16589.497716270504</v>
      </c>
      <c r="F683" s="180">
        <f>(F624/F612)*R64</f>
        <v>3759.3780517418681</v>
      </c>
      <c r="G683" s="180">
        <f>(G625/G612)*R77</f>
        <v>0</v>
      </c>
      <c r="H683" s="180">
        <f>(H628/H612)*R60</f>
        <v>12535.12959963084</v>
      </c>
      <c r="I683" s="180">
        <f>(I629/I612)*R78</f>
        <v>4593.0307519134449</v>
      </c>
      <c r="J683" s="180">
        <f>(J630/J612)*R79</f>
        <v>0</v>
      </c>
      <c r="K683" s="180">
        <f>(K644/K612)*R75</f>
        <v>101127.22741662773</v>
      </c>
      <c r="L683" s="180">
        <f>(L647/L612)*R80</f>
        <v>180239.92582264534</v>
      </c>
      <c r="M683" s="180">
        <f t="shared" si="24"/>
        <v>290456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3729203</v>
      </c>
      <c r="D684" s="180">
        <f>(D615/D612)*S76</f>
        <v>45670.027604855008</v>
      </c>
      <c r="E684" s="180">
        <f>(E623/E612)*SUM(C684:D684)</f>
        <v>344858.55451952183</v>
      </c>
      <c r="F684" s="180">
        <f>(F624/F612)*S64</f>
        <v>216387.26205618211</v>
      </c>
      <c r="G684" s="180">
        <f>(G625/G612)*S77</f>
        <v>0</v>
      </c>
      <c r="H684" s="180">
        <f>(H628/H612)*S60</f>
        <v>0</v>
      </c>
      <c r="I684" s="180">
        <f>(I629/I612)*S78</f>
        <v>43783.892152004722</v>
      </c>
      <c r="J684" s="180">
        <f>(J630/J612)*S79</f>
        <v>0</v>
      </c>
      <c r="K684" s="180">
        <f>(K644/K612)*S75</f>
        <v>338481.48112565477</v>
      </c>
      <c r="L684" s="180">
        <f>(L647/L612)*S80</f>
        <v>0</v>
      </c>
      <c r="M684" s="180">
        <f t="shared" si="24"/>
        <v>989181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4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4627117</v>
      </c>
      <c r="D686" s="180">
        <f>(D615/D612)*U76</f>
        <v>63855.398861394046</v>
      </c>
      <c r="E686" s="180">
        <f>(E623/E612)*SUM(C686:D686)</f>
        <v>428550.03305601346</v>
      </c>
      <c r="F686" s="180">
        <f>(F624/F612)*U64</f>
        <v>87685.754042742468</v>
      </c>
      <c r="G686" s="180">
        <f>(G625/G612)*U77</f>
        <v>0</v>
      </c>
      <c r="H686" s="180">
        <f>(H628/H612)*U60</f>
        <v>62940.814201223307</v>
      </c>
      <c r="I686" s="180">
        <f>(I629/I612)*U78</f>
        <v>61218.222184155355</v>
      </c>
      <c r="J686" s="180">
        <f>(J630/J612)*U79</f>
        <v>40283.728092219288</v>
      </c>
      <c r="K686" s="180">
        <f>(K644/K612)*U75</f>
        <v>1539376.8116914867</v>
      </c>
      <c r="L686" s="180">
        <f>(L647/L612)*U80</f>
        <v>0</v>
      </c>
      <c r="M686" s="180">
        <f t="shared" si="24"/>
        <v>2283911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4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449103</v>
      </c>
      <c r="D688" s="180">
        <f>(D615/D612)*W76</f>
        <v>32863.631948128655</v>
      </c>
      <c r="E688" s="180">
        <f>(E623/E612)*SUM(C688:D688)</f>
        <v>44030.703762699522</v>
      </c>
      <c r="F688" s="180">
        <f>(F624/F612)*W64</f>
        <v>858.33196027800045</v>
      </c>
      <c r="G688" s="180">
        <f>(G625/G612)*W77</f>
        <v>0</v>
      </c>
      <c r="H688" s="180">
        <f>(H628/H612)*W60</f>
        <v>3881.0689721933945</v>
      </c>
      <c r="I688" s="180">
        <f>(I629/I612)*W78</f>
        <v>31506.39034838416</v>
      </c>
      <c r="J688" s="180">
        <f>(J630/J612)*W79</f>
        <v>0</v>
      </c>
      <c r="K688" s="180">
        <f>(K644/K612)*W75</f>
        <v>386833.66178543912</v>
      </c>
      <c r="L688" s="180">
        <f>(L647/L612)*W80</f>
        <v>0</v>
      </c>
      <c r="M688" s="180">
        <f t="shared" si="24"/>
        <v>499974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776034</v>
      </c>
      <c r="D689" s="180">
        <f>(D615/D612)*X76</f>
        <v>12171.97211789326</v>
      </c>
      <c r="E689" s="180">
        <f>(E623/E612)*SUM(C689:D689)</f>
        <v>72007.606671925561</v>
      </c>
      <c r="F689" s="180">
        <f>(F624/F612)*X64</f>
        <v>5760.9773469832071</v>
      </c>
      <c r="G689" s="180">
        <f>(G625/G612)*X77</f>
        <v>0</v>
      </c>
      <c r="H689" s="180">
        <f>(H628/H612)*X60</f>
        <v>9690.61942125307</v>
      </c>
      <c r="I689" s="180">
        <f>(I629/I612)*X78</f>
        <v>11669.279447301946</v>
      </c>
      <c r="J689" s="180">
        <f>(J630/J612)*X79</f>
        <v>0</v>
      </c>
      <c r="K689" s="180">
        <f>(K644/K612)*X75</f>
        <v>1244929.4507525973</v>
      </c>
      <c r="L689" s="180">
        <f>(L647/L612)*X80</f>
        <v>0</v>
      </c>
      <c r="M689" s="180">
        <f t="shared" si="24"/>
        <v>1356230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3077000</v>
      </c>
      <c r="D690" s="180">
        <f>(D615/D612)*Y76</f>
        <v>81942.704649785373</v>
      </c>
      <c r="E690" s="180">
        <f>(E623/E612)*SUM(C690:D690)</f>
        <v>288589.4192914688</v>
      </c>
      <c r="F690" s="180">
        <f>(F624/F612)*Y64</f>
        <v>6601.3215665354755</v>
      </c>
      <c r="G690" s="180">
        <f>(G625/G612)*Y77</f>
        <v>0</v>
      </c>
      <c r="H690" s="180">
        <f>(H628/H612)*Y60</f>
        <v>51514.561450790585</v>
      </c>
      <c r="I690" s="180">
        <f>(I629/I612)*Y78</f>
        <v>78558.536773215717</v>
      </c>
      <c r="J690" s="180">
        <f>(J630/J612)*Y79</f>
        <v>0</v>
      </c>
      <c r="K690" s="180">
        <f>(K644/K612)*Y75</f>
        <v>1074112.6719811347</v>
      </c>
      <c r="L690" s="180">
        <f>(L647/L612)*Y80</f>
        <v>0</v>
      </c>
      <c r="M690" s="180">
        <f t="shared" si="24"/>
        <v>1581319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4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214320</v>
      </c>
      <c r="D692" s="180">
        <f>(D615/D612)*AA76</f>
        <v>10611.237869727804</v>
      </c>
      <c r="E692" s="180">
        <f>(E623/E612)*SUM(C692:D692)</f>
        <v>20548.892900712646</v>
      </c>
      <c r="F692" s="180">
        <f>(F624/F612)*AA64</f>
        <v>1860.2072867460556</v>
      </c>
      <c r="G692" s="180">
        <f>(G625/G612)*AA77</f>
        <v>0</v>
      </c>
      <c r="H692" s="180">
        <f>(H628/H612)*AA60</f>
        <v>2434.7078645436823</v>
      </c>
      <c r="I692" s="180">
        <f>(I629/I612)*AA78</f>
        <v>10173.002269830913</v>
      </c>
      <c r="J692" s="180">
        <f>(J630/J612)*AA79</f>
        <v>0</v>
      </c>
      <c r="K692" s="180">
        <f>(K644/K612)*AA75</f>
        <v>49108.397073373635</v>
      </c>
      <c r="L692" s="180">
        <f>(L647/L612)*AA80</f>
        <v>0</v>
      </c>
      <c r="M692" s="180">
        <f t="shared" si="24"/>
        <v>94736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741964</v>
      </c>
      <c r="D693" s="180">
        <f>(D615/D612)*AB76</f>
        <v>27943.578107418471</v>
      </c>
      <c r="E693" s="180">
        <f>(E623/E612)*SUM(C693:D693)</f>
        <v>70335.932509024002</v>
      </c>
      <c r="F693" s="180">
        <f>(F624/F612)*AB64</f>
        <v>145325.22820074958</v>
      </c>
      <c r="G693" s="180">
        <f>(G625/G612)*AB77</f>
        <v>0</v>
      </c>
      <c r="H693" s="180">
        <f>(H628/H612)*AB60</f>
        <v>34326.970288219833</v>
      </c>
      <c r="I693" s="180">
        <f>(I629/I612)*AB78</f>
        <v>26789.530778962508</v>
      </c>
      <c r="J693" s="180">
        <f>(J630/J612)*AB79</f>
        <v>0</v>
      </c>
      <c r="K693" s="180">
        <f>(K644/K612)*AB75</f>
        <v>477677.33157415467</v>
      </c>
      <c r="L693" s="180">
        <f>(L647/L612)*AB80</f>
        <v>0</v>
      </c>
      <c r="M693" s="180">
        <f t="shared" si="24"/>
        <v>782399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1144642</v>
      </c>
      <c r="D694" s="180">
        <f>(D615/D612)*AC76</f>
        <v>12384.575589654603</v>
      </c>
      <c r="E694" s="180">
        <f>(E623/E612)*SUM(C694:D694)</f>
        <v>105701.70426412765</v>
      </c>
      <c r="F694" s="180">
        <f>(F624/F612)*AC64</f>
        <v>2873.3174811756971</v>
      </c>
      <c r="G694" s="180">
        <f>(G625/G612)*AC77</f>
        <v>0</v>
      </c>
      <c r="H694" s="180">
        <f>(H628/H612)*AC60</f>
        <v>21671.310596284853</v>
      </c>
      <c r="I694" s="180">
        <f>(I629/I612)*AC78</f>
        <v>11873.102566466228</v>
      </c>
      <c r="J694" s="180">
        <f>(J630/J612)*AC79</f>
        <v>0</v>
      </c>
      <c r="K694" s="180">
        <f>(K644/K612)*AC75</f>
        <v>359653.82164179056</v>
      </c>
      <c r="L694" s="180">
        <f>(L647/L612)*AC80</f>
        <v>0</v>
      </c>
      <c r="M694" s="180">
        <f t="shared" si="24"/>
        <v>514158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4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2214269</v>
      </c>
      <c r="D696" s="180">
        <f>(D615/D612)*AE76</f>
        <v>59755.430968600354</v>
      </c>
      <c r="E696" s="180">
        <f>(E623/E612)*SUM(C696:D696)</f>
        <v>207746.53146505772</v>
      </c>
      <c r="F696" s="180">
        <f>(F624/F612)*AE64</f>
        <v>2181.8352621144468</v>
      </c>
      <c r="G696" s="180">
        <f>(G625/G612)*AE77</f>
        <v>0</v>
      </c>
      <c r="H696" s="180">
        <f>(H628/H612)*AE60</f>
        <v>48621.839235491163</v>
      </c>
      <c r="I696" s="180">
        <f>(I629/I612)*AE78</f>
        <v>57287.579671785214</v>
      </c>
      <c r="J696" s="180">
        <f>(J630/J612)*AE79</f>
        <v>13585.355537521189</v>
      </c>
      <c r="K696" s="180">
        <f>(K644/K612)*AE75</f>
        <v>419081.93399685947</v>
      </c>
      <c r="L696" s="180">
        <f>(L647/L612)*AE80</f>
        <v>0</v>
      </c>
      <c r="M696" s="180">
        <f t="shared" si="24"/>
        <v>808261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4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6441027</v>
      </c>
      <c r="D698" s="180">
        <f>(D615/D612)*AG76</f>
        <v>146724.72211837096</v>
      </c>
      <c r="E698" s="180">
        <f>(E623/E612)*SUM(C698:D698)</f>
        <v>601832.83512047271</v>
      </c>
      <c r="F698" s="180">
        <f>(F624/F612)*AG64</f>
        <v>16273.168402934069</v>
      </c>
      <c r="G698" s="180">
        <f>(G625/G612)*AG77</f>
        <v>168772.51722600232</v>
      </c>
      <c r="H698" s="180">
        <f>(H628/H612)*AG60</f>
        <v>68123.60817030145</v>
      </c>
      <c r="I698" s="180">
        <f>(I629/I612)*AG78</f>
        <v>140665.10896044842</v>
      </c>
      <c r="J698" s="180">
        <f>(J630/J612)*AG79</f>
        <v>100781.01447024333</v>
      </c>
      <c r="K698" s="180">
        <f>(K644/K612)*AG75</f>
        <v>2299252.4829874611</v>
      </c>
      <c r="L698" s="180">
        <f>(L647/L612)*AG80</f>
        <v>979534.67379768402</v>
      </c>
      <c r="M698" s="180">
        <f t="shared" si="24"/>
        <v>4521960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4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4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4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4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4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4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4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4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22765699</v>
      </c>
      <c r="D707" s="180">
        <f>(D615/D612)*AP76</f>
        <v>680300.3198503803</v>
      </c>
      <c r="E707" s="180">
        <f>(E623/E612)*SUM(C707:D707)</f>
        <v>2141940.5038477685</v>
      </c>
      <c r="F707" s="180">
        <f>(F624/F612)*AP64</f>
        <v>50500.851007202371</v>
      </c>
      <c r="G707" s="180">
        <f>(G625/G612)*AP77</f>
        <v>0</v>
      </c>
      <c r="H707" s="180">
        <f>(H628/H612)*AP60</f>
        <v>352671.05008192151</v>
      </c>
      <c r="I707" s="180">
        <f>(I629/I612)*AP78</f>
        <v>652204.46313321067</v>
      </c>
      <c r="J707" s="180">
        <f>(J630/J612)*AP79</f>
        <v>0</v>
      </c>
      <c r="K707" s="180">
        <f>(K644/K612)*AP75</f>
        <v>1588927.6959320754</v>
      </c>
      <c r="L707" s="180">
        <f>(L647/L612)*AP80</f>
        <v>0</v>
      </c>
      <c r="M707" s="180">
        <f t="shared" si="24"/>
        <v>5466545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4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4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4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4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4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363071</v>
      </c>
      <c r="D713" s="180">
        <f>(D615/D612)*AV76</f>
        <v>4119.6733557809866</v>
      </c>
      <c r="E713" s="180">
        <f>(E623/E612)*SUM(C713:D713)</f>
        <v>33545.193154978813</v>
      </c>
      <c r="F713" s="180">
        <f>(F624/F612)*AV64</f>
        <v>245.67309675575157</v>
      </c>
      <c r="G713" s="180">
        <f>(G625/G612)*AV77</f>
        <v>0</v>
      </c>
      <c r="H713" s="180">
        <f>(H628/H612)*AV60</f>
        <v>7617.5018336218182</v>
      </c>
      <c r="I713" s="180">
        <f>(I629/I612)*AV78</f>
        <v>3949.5341555656751</v>
      </c>
      <c r="J713" s="180">
        <f>(J630/J612)*AV79</f>
        <v>0</v>
      </c>
      <c r="K713" s="180">
        <f>(K644/K612)*AV75</f>
        <v>13317.075906233205</v>
      </c>
      <c r="L713" s="180">
        <f>(L647/L612)*AV80</f>
        <v>0</v>
      </c>
      <c r="M713" s="180">
        <f t="shared" si="24"/>
        <v>62795</v>
      </c>
      <c r="N713" s="199" t="s">
        <v>741</v>
      </c>
    </row>
    <row r="715" spans="1:15" ht="12.6" customHeight="1" x14ac:dyDescent="0.25">
      <c r="C715" s="180">
        <f>SUM(C614:C647)+SUM(C668:C713)</f>
        <v>91871147</v>
      </c>
      <c r="D715" s="180">
        <f>SUM(D616:D647)+SUM(D668:D713)</f>
        <v>2497594.0000000005</v>
      </c>
      <c r="E715" s="180">
        <f>SUM(E624:E647)+SUM(E668:E713)</f>
        <v>7690440.5845133029</v>
      </c>
      <c r="F715" s="180">
        <f>SUM(F625:F648)+SUM(F668:F713)</f>
        <v>694699.51473384595</v>
      </c>
      <c r="G715" s="180">
        <f>SUM(G626:G647)+SUM(G668:G713)</f>
        <v>1604890.6502647807</v>
      </c>
      <c r="H715" s="180">
        <f>SUM(H629:H647)+SUM(H668:H713)</f>
        <v>1228105.2165053706</v>
      </c>
      <c r="I715" s="180">
        <f>SUM(I630:I647)+SUM(I668:I713)</f>
        <v>2009254.0676182043</v>
      </c>
      <c r="J715" s="180">
        <f>SUM(J631:J647)+SUM(J668:J713)</f>
        <v>419608.10993322637</v>
      </c>
      <c r="K715" s="180">
        <f>SUM(K668:K713)</f>
        <v>12771653.170495264</v>
      </c>
      <c r="L715" s="180">
        <f>SUM(L668:L713)</f>
        <v>4640138.2442072164</v>
      </c>
      <c r="M715" s="180">
        <f>SUM(M668:M713)</f>
        <v>30158171</v>
      </c>
      <c r="N715" s="198" t="s">
        <v>742</v>
      </c>
    </row>
    <row r="716" spans="1:15" ht="12.6" customHeight="1" x14ac:dyDescent="0.25">
      <c r="C716" s="180">
        <f>CE71</f>
        <v>91871147</v>
      </c>
      <c r="D716" s="180">
        <f>D615</f>
        <v>2497594</v>
      </c>
      <c r="E716" s="180">
        <f>E623</f>
        <v>7690440.584513302</v>
      </c>
      <c r="F716" s="180">
        <f>F624</f>
        <v>694699.51473384595</v>
      </c>
      <c r="G716" s="180">
        <f>G625</f>
        <v>1604890.6502647805</v>
      </c>
      <c r="H716" s="180">
        <f>H628</f>
        <v>1228105.2165053708</v>
      </c>
      <c r="I716" s="180">
        <f>I629</f>
        <v>2009254.0676182036</v>
      </c>
      <c r="J716" s="180">
        <f>J630</f>
        <v>419608.10993322637</v>
      </c>
      <c r="K716" s="180">
        <f>K644</f>
        <v>12771653.170495262</v>
      </c>
      <c r="L716" s="180">
        <f>L647</f>
        <v>4640138.2442072174</v>
      </c>
      <c r="M716" s="180">
        <f>C648</f>
        <v>30158171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1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2" transitionEvaluation="1" transitionEntry="1" codeName="Sheet10">
    <pageSetUpPr autoPageBreaks="0" fitToPage="1"/>
  </sheetPr>
  <dimension ref="A1:CF817"/>
  <sheetViews>
    <sheetView showGridLines="0" topLeftCell="A52" zoomScale="75" workbookViewId="0">
      <selection activeCell="C92" sqref="C9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76" width="11.75" style="180"/>
    <col min="77" max="77" width="12.4140625" style="180" bestFit="1" customWidth="1"/>
    <col min="78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14108473</v>
      </c>
      <c r="C47" s="184">
        <v>543310</v>
      </c>
      <c r="D47" s="184"/>
      <c r="E47" s="184">
        <f>782189+469495+142966</f>
        <v>1394650</v>
      </c>
      <c r="F47" s="184"/>
      <c r="G47" s="184"/>
      <c r="H47" s="184"/>
      <c r="I47" s="184"/>
      <c r="J47" s="184">
        <v>0</v>
      </c>
      <c r="K47" s="184"/>
      <c r="L47" s="184"/>
      <c r="M47" s="184"/>
      <c r="N47" s="184"/>
      <c r="O47" s="184">
        <v>0</v>
      </c>
      <c r="P47" s="184">
        <f>399407+79210+34353+57934</f>
        <v>570904</v>
      </c>
      <c r="Q47" s="184">
        <v>362085</v>
      </c>
      <c r="R47" s="184">
        <v>209076</v>
      </c>
      <c r="S47" s="184">
        <v>0</v>
      </c>
      <c r="T47" s="184">
        <v>0</v>
      </c>
      <c r="U47" s="184">
        <v>441526</v>
      </c>
      <c r="V47" s="184"/>
      <c r="W47" s="184">
        <v>66864</v>
      </c>
      <c r="X47" s="184">
        <v>127965</v>
      </c>
      <c r="Y47" s="184">
        <f>367226+133316+106</f>
        <v>500648</v>
      </c>
      <c r="Z47" s="184"/>
      <c r="AA47" s="184">
        <f>35761</f>
        <v>35761</v>
      </c>
      <c r="AB47" s="184">
        <f>378290+96782</f>
        <v>475072</v>
      </c>
      <c r="AC47" s="184">
        <v>256357</v>
      </c>
      <c r="AD47" s="184"/>
      <c r="AE47" s="184">
        <v>360663</v>
      </c>
      <c r="AF47" s="184"/>
      <c r="AG47" s="184">
        <f>613418</f>
        <v>613418</v>
      </c>
      <c r="AH47" s="184"/>
      <c r="AI47" s="184"/>
      <c r="AJ47" s="184"/>
      <c r="AK47" s="184"/>
      <c r="AL47" s="184"/>
      <c r="AM47" s="184"/>
      <c r="AN47" s="184"/>
      <c r="AO47" s="184"/>
      <c r="AP47" s="184">
        <v>3559420</v>
      </c>
      <c r="AQ47" s="184"/>
      <c r="AR47" s="184"/>
      <c r="AS47" s="184"/>
      <c r="AT47" s="184"/>
      <c r="AU47" s="184"/>
      <c r="AV47" s="184">
        <v>72890</v>
      </c>
      <c r="AW47" s="184"/>
      <c r="AX47" s="184"/>
      <c r="AY47" s="184">
        <v>352035</v>
      </c>
      <c r="AZ47" s="184"/>
      <c r="BA47" s="184">
        <v>18559</v>
      </c>
      <c r="BB47" s="184">
        <v>0</v>
      </c>
      <c r="BC47" s="184"/>
      <c r="BD47" s="184">
        <v>103735</v>
      </c>
      <c r="BE47" s="184">
        <v>305924</v>
      </c>
      <c r="BF47" s="184">
        <v>420967</v>
      </c>
      <c r="BG47" s="184"/>
      <c r="BH47" s="184">
        <v>106454</v>
      </c>
      <c r="BI47" s="184"/>
      <c r="BJ47" s="184">
        <v>132410</v>
      </c>
      <c r="BK47" s="184">
        <v>464031</v>
      </c>
      <c r="BL47" s="184">
        <v>412071</v>
      </c>
      <c r="BM47" s="184">
        <v>24065</v>
      </c>
      <c r="BN47" s="184">
        <f>418953+30072+61802</f>
        <v>510827</v>
      </c>
      <c r="BO47" s="184">
        <v>48531</v>
      </c>
      <c r="BP47" s="184"/>
      <c r="BQ47" s="184"/>
      <c r="BR47" s="184">
        <f>85083+4643</f>
        <v>89726</v>
      </c>
      <c r="BS47" s="184"/>
      <c r="BT47" s="184"/>
      <c r="BU47" s="184"/>
      <c r="BV47" s="184">
        <v>492710</v>
      </c>
      <c r="BW47" s="184">
        <v>56071</v>
      </c>
      <c r="BX47" s="184"/>
      <c r="BY47" s="184">
        <f>202235+261915-102+311746-608</f>
        <v>775186</v>
      </c>
      <c r="BZ47" s="184"/>
      <c r="CA47" s="184">
        <v>59576</v>
      </c>
      <c r="CB47" s="184"/>
      <c r="CC47" s="184">
        <f>52460+73255+19254+17</f>
        <v>144986</v>
      </c>
      <c r="CD47" s="195"/>
      <c r="CE47" s="195">
        <f>SUM(C47:CC47)</f>
        <v>14108473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14108473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660221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>
        <v>660221</v>
      </c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660221</v>
      </c>
    </row>
    <row r="52" spans="1:84" ht="12.6" customHeight="1" x14ac:dyDescent="0.25">
      <c r="A52" s="171" t="s">
        <v>208</v>
      </c>
      <c r="B52" s="184">
        <f>5995761</f>
        <v>5995761</v>
      </c>
      <c r="C52" s="195">
        <f>ROUND((B52/(CE76+CF76)*C76),0)</f>
        <v>283565</v>
      </c>
      <c r="D52" s="195">
        <f>ROUND((B52/(CE76+CF76)*D76),0)</f>
        <v>0</v>
      </c>
      <c r="E52" s="195">
        <f>ROUND((B52/(CE76+CF76)*E76),0)</f>
        <v>837583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20952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42426</v>
      </c>
      <c r="P52" s="195">
        <f>ROUND((B52/(CE76+CF76)*P76),0)</f>
        <v>285568</v>
      </c>
      <c r="Q52" s="195">
        <f>ROUND((B52/(CE76+CF76)*Q76),0)</f>
        <v>315275</v>
      </c>
      <c r="R52" s="195">
        <f>ROUND((B52/(CE76+CF76)*R76),0)</f>
        <v>13547</v>
      </c>
      <c r="S52" s="195">
        <f>ROUND((B52/(CE76+CF76)*S76),0)</f>
        <v>129238</v>
      </c>
      <c r="T52" s="195">
        <f>ROUND((B52/(CE76+CF76)*T76),0)</f>
        <v>0</v>
      </c>
      <c r="U52" s="195">
        <f>ROUND((B52/(CE76+CF76)*U76),0)</f>
        <v>180680</v>
      </c>
      <c r="V52" s="195">
        <f>ROUND((B52/(CE76+CF76)*V76),0)</f>
        <v>0</v>
      </c>
      <c r="W52" s="195">
        <f>ROUND((B52/(CE76+CF76)*W76),0)</f>
        <v>92997</v>
      </c>
      <c r="X52" s="195">
        <f>ROUND((B52/(CE76+CF76)*X76),0)</f>
        <v>34455</v>
      </c>
      <c r="Y52" s="195">
        <f>ROUND((B52/(CE76+CF76)*Y76),0)</f>
        <v>231817</v>
      </c>
      <c r="Z52" s="195">
        <f>ROUND((B52/(CE76+CF76)*Z76),0)</f>
        <v>0</v>
      </c>
      <c r="AA52" s="195">
        <f>ROUND((B52/(CE76+CF76)*AA76),0)</f>
        <v>30012</v>
      </c>
      <c r="AB52" s="195">
        <f>ROUND((B52/(CE76+CF76)*AB76),0)</f>
        <v>79058</v>
      </c>
      <c r="AC52" s="195">
        <f>ROUND((B52/(CE76+CF76)*AC76),0)</f>
        <v>35021</v>
      </c>
      <c r="AD52" s="195">
        <f>ROUND((B52/(CE76+CF76)*AD76),0)</f>
        <v>0</v>
      </c>
      <c r="AE52" s="195">
        <f>ROUND((B52/(CE76+CF76)*AE76),0)</f>
        <v>169093</v>
      </c>
      <c r="AF52" s="195">
        <f>ROUND((B52/(CE76+CF76)*AF76),0)</f>
        <v>0</v>
      </c>
      <c r="AG52" s="195">
        <f>ROUND((B52/(CE76+CF76)*AG76),0)</f>
        <v>415154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67603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219229</v>
      </c>
      <c r="AZ52" s="195">
        <f>ROUND((B52/(CE76+CF76)*AZ76),0)</f>
        <v>0</v>
      </c>
      <c r="BA52" s="195">
        <f>ROUND((B52/(CE76+CF76)*BA76),0)</f>
        <v>63552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148011</v>
      </c>
      <c r="BE52" s="195">
        <f>ROUND((B52/(CE76+CF76)*BE76),0)</f>
        <v>1077677</v>
      </c>
      <c r="BF52" s="195">
        <f>ROUND((B52/(CE76+CF76)*BF76),0)</f>
        <v>92649</v>
      </c>
      <c r="BG52" s="195">
        <f>ROUND((B52/(CE76+CF76)*BG76),0)</f>
        <v>0</v>
      </c>
      <c r="BH52" s="195">
        <f>ROUND((B52/(CE76+CF76)*BH76),0)</f>
        <v>129072</v>
      </c>
      <c r="BI52" s="195">
        <f>ROUND((B52/(CE76+CF76)*BI76),0)</f>
        <v>0</v>
      </c>
      <c r="BJ52" s="195">
        <f>ROUND((B52/(CE76+CF76)*BJ76),0)</f>
        <v>67611</v>
      </c>
      <c r="BK52" s="195">
        <f>ROUND((B52/(CE76+CF76)*BK76),0)</f>
        <v>92997</v>
      </c>
      <c r="BL52" s="195">
        <f>ROUND((B52/(CE76+CF76)*BL76),0)</f>
        <v>93964</v>
      </c>
      <c r="BM52" s="195">
        <f>ROUND((B52/(CE76+CF76)*BM76),0)</f>
        <v>23304</v>
      </c>
      <c r="BN52" s="195">
        <f>ROUND((B52/(CE76+CF76)*BN76),0)</f>
        <v>212051</v>
      </c>
      <c r="BO52" s="195">
        <f>ROUND((B52/(CE76+CF76)*BO76),0)</f>
        <v>16996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23966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152306</v>
      </c>
      <c r="BW52" s="195">
        <f>ROUND((B52/(CE76+CF76)*BW76),0)</f>
        <v>44473</v>
      </c>
      <c r="BX52" s="195">
        <f>ROUND((B52/(CE76+CF76)*BX76),0)</f>
        <v>0</v>
      </c>
      <c r="BY52" s="195">
        <f>ROUND((B52/(CE76+CF76)*BY76),0)</f>
        <v>89120</v>
      </c>
      <c r="BZ52" s="195">
        <f>ROUND((B52/(CE76+CF76)*BZ76),0)</f>
        <v>0</v>
      </c>
      <c r="CA52" s="195">
        <f>ROUND((B52/(CE76+CF76)*CA76),0)</f>
        <v>45562</v>
      </c>
      <c r="CB52" s="195">
        <f>ROUND((B52/(CE76+CF76)*CB76),0)</f>
        <v>0</v>
      </c>
      <c r="CC52" s="195">
        <f>ROUND((B52/(CE76+CF76)*CC76),0)</f>
        <v>139195</v>
      </c>
      <c r="CD52" s="195"/>
      <c r="CE52" s="195">
        <f>SUM(C52:CD52)</f>
        <v>5995779</v>
      </c>
    </row>
    <row r="53" spans="1:84" ht="12.6" customHeight="1" x14ac:dyDescent="0.25">
      <c r="A53" s="175" t="s">
        <v>206</v>
      </c>
      <c r="B53" s="195">
        <f>B51+B52</f>
        <v>6655982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1272</v>
      </c>
      <c r="D59" s="184"/>
      <c r="E59" s="184">
        <f>3227+588</f>
        <v>3815</v>
      </c>
      <c r="F59" s="184"/>
      <c r="G59" s="184"/>
      <c r="H59" s="184"/>
      <c r="I59" s="184"/>
      <c r="J59" s="184">
        <v>545</v>
      </c>
      <c r="K59" s="184"/>
      <c r="L59" s="184"/>
      <c r="M59" s="184"/>
      <c r="N59" s="184"/>
      <c r="O59" s="184">
        <v>658</v>
      </c>
      <c r="P59" s="184">
        <v>121810</v>
      </c>
      <c r="Q59" s="184">
        <v>123269</v>
      </c>
      <c r="R59" s="184">
        <v>121810</v>
      </c>
      <c r="S59" s="248"/>
      <c r="T59" s="248"/>
      <c r="U59" s="184">
        <v>169949</v>
      </c>
      <c r="V59" s="184"/>
      <c r="W59" s="184">
        <v>1737</v>
      </c>
      <c r="X59" s="184">
        <v>25218</v>
      </c>
      <c r="Y59" s="184">
        <f>22632+12624</f>
        <v>35256</v>
      </c>
      <c r="Z59" s="184"/>
      <c r="AA59" s="184"/>
      <c r="AB59" s="248"/>
      <c r="AC59" s="184">
        <v>6073</v>
      </c>
      <c r="AD59" s="184"/>
      <c r="AE59" s="184">
        <v>21053</v>
      </c>
      <c r="AF59" s="184"/>
      <c r="AG59" s="184">
        <v>20750</v>
      </c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248"/>
      <c r="AW59" s="248"/>
      <c r="AX59" s="248"/>
      <c r="AY59" s="184">
        <v>32000</v>
      </c>
      <c r="AZ59" s="185"/>
      <c r="BA59" s="248"/>
      <c r="BB59" s="248"/>
      <c r="BC59" s="248"/>
      <c r="BD59" s="248"/>
      <c r="BE59" s="185">
        <v>137649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7">
        <v>19.96</v>
      </c>
      <c r="D60" s="187"/>
      <c r="E60" s="187">
        <v>51.26</v>
      </c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>
        <v>20.89</v>
      </c>
      <c r="Q60" s="187">
        <v>11.93</v>
      </c>
      <c r="R60" s="187">
        <v>5.33</v>
      </c>
      <c r="S60" s="221"/>
      <c r="T60" s="221"/>
      <c r="U60" s="187">
        <v>24.26</v>
      </c>
      <c r="V60" s="187"/>
      <c r="W60" s="187">
        <v>1.82</v>
      </c>
      <c r="X60" s="187">
        <v>3.55</v>
      </c>
      <c r="Y60" s="187">
        <f>16.6+5.31</f>
        <v>21.91</v>
      </c>
      <c r="Z60" s="187"/>
      <c r="AA60" s="187">
        <v>1</v>
      </c>
      <c r="AB60" s="221">
        <f>11.7+3.27</f>
        <v>14.969999999999999</v>
      </c>
      <c r="AC60" s="187">
        <v>9.8000000000000007</v>
      </c>
      <c r="AD60" s="187"/>
      <c r="AE60" s="187">
        <v>18.73</v>
      </c>
      <c r="AF60" s="187"/>
      <c r="AG60" s="187">
        <v>27.81</v>
      </c>
      <c r="AH60" s="187"/>
      <c r="AI60" s="187"/>
      <c r="AJ60" s="187"/>
      <c r="AK60" s="187"/>
      <c r="AL60" s="187"/>
      <c r="AM60" s="187"/>
      <c r="AN60" s="187"/>
      <c r="AO60" s="187"/>
      <c r="AP60" s="187">
        <f>13.01+5.84+4.91+7.42+46.42+10.72+6.83+7.24+36.02+4.59</f>
        <v>143</v>
      </c>
      <c r="AQ60" s="187"/>
      <c r="AR60" s="187"/>
      <c r="AS60" s="187"/>
      <c r="AT60" s="187"/>
      <c r="AU60" s="187"/>
      <c r="AV60" s="221">
        <v>2.9</v>
      </c>
      <c r="AW60" s="221"/>
      <c r="AX60" s="221"/>
      <c r="AY60" s="187">
        <v>17.25</v>
      </c>
      <c r="AZ60" s="221"/>
      <c r="BA60" s="221">
        <v>1.39</v>
      </c>
      <c r="BB60" s="221"/>
      <c r="BC60" s="221"/>
      <c r="BD60" s="221">
        <v>5.62</v>
      </c>
      <c r="BE60" s="187">
        <v>11.71</v>
      </c>
      <c r="BF60" s="221">
        <v>24.53</v>
      </c>
      <c r="BG60" s="221"/>
      <c r="BH60" s="221">
        <v>4.96</v>
      </c>
      <c r="BI60" s="221"/>
      <c r="BJ60" s="221">
        <v>4.8899999999999997</v>
      </c>
      <c r="BK60" s="221">
        <v>20.76</v>
      </c>
      <c r="BL60" s="221">
        <v>21.69</v>
      </c>
      <c r="BM60" s="221">
        <f>1.98</f>
        <v>1.98</v>
      </c>
      <c r="BN60" s="221">
        <v>11.74</v>
      </c>
      <c r="BO60" s="221">
        <v>1.97</v>
      </c>
      <c r="BP60" s="221"/>
      <c r="BQ60" s="221"/>
      <c r="BR60" s="221">
        <f>4.5+0.55</f>
        <v>5.05</v>
      </c>
      <c r="BS60" s="221"/>
      <c r="BT60" s="221"/>
      <c r="BU60" s="221"/>
      <c r="BV60" s="221">
        <f>21.34</f>
        <v>21.34</v>
      </c>
      <c r="BW60" s="221">
        <v>1.93</v>
      </c>
      <c r="BX60" s="221"/>
      <c r="BY60" s="221">
        <f>6.78+8.84+9.24</f>
        <v>24.86</v>
      </c>
      <c r="BZ60" s="221"/>
      <c r="CA60" s="221">
        <v>2.13</v>
      </c>
      <c r="CB60" s="221"/>
      <c r="CC60" s="221">
        <f>2.63+1+2</f>
        <v>5.63</v>
      </c>
      <c r="CD60" s="249" t="s">
        <v>221</v>
      </c>
      <c r="CE60" s="251">
        <f t="shared" ref="CE60:CE70" si="0">SUM(C60:CD60)</f>
        <v>568.54999999999995</v>
      </c>
    </row>
    <row r="61" spans="1:84" ht="12.6" customHeight="1" x14ac:dyDescent="0.25">
      <c r="A61" s="171" t="s">
        <v>235</v>
      </c>
      <c r="B61" s="175"/>
      <c r="C61" s="184">
        <v>1977685</v>
      </c>
      <c r="D61" s="184"/>
      <c r="E61" s="184">
        <f>2382531+1725944+779051</f>
        <v>4887526</v>
      </c>
      <c r="F61" s="184"/>
      <c r="G61" s="184"/>
      <c r="H61" s="184"/>
      <c r="I61" s="184"/>
      <c r="J61" s="184">
        <v>0</v>
      </c>
      <c r="K61" s="184"/>
      <c r="L61" s="184"/>
      <c r="M61" s="184"/>
      <c r="N61" s="184"/>
      <c r="O61" s="184">
        <v>0</v>
      </c>
      <c r="P61" s="184">
        <f>1147954+246952+80355+103030</f>
        <v>1578291</v>
      </c>
      <c r="Q61" s="184">
        <v>1037641</v>
      </c>
      <c r="R61" s="184">
        <v>936815</v>
      </c>
      <c r="S61" s="185"/>
      <c r="T61" s="185"/>
      <c r="U61" s="184">
        <v>1550953</v>
      </c>
      <c r="V61" s="184"/>
      <c r="W61" s="184">
        <v>177298</v>
      </c>
      <c r="X61" s="184">
        <v>406588</v>
      </c>
      <c r="Y61" s="184">
        <f>1169923+528691+258</f>
        <v>1698872</v>
      </c>
      <c r="Z61" s="184"/>
      <c r="AA61" s="184">
        <v>103313</v>
      </c>
      <c r="AB61" s="185">
        <f>1222517+362773</f>
        <v>1585290</v>
      </c>
      <c r="AC61" s="184">
        <v>761421</v>
      </c>
      <c r="AD61" s="184"/>
      <c r="AE61" s="184">
        <v>1383390</v>
      </c>
      <c r="AF61" s="184"/>
      <c r="AG61" s="184">
        <f>2445037</f>
        <v>2445037</v>
      </c>
      <c r="AH61" s="184"/>
      <c r="AI61" s="184"/>
      <c r="AJ61" s="184"/>
      <c r="AK61" s="184"/>
      <c r="AL61" s="184"/>
      <c r="AM61" s="184"/>
      <c r="AN61" s="184"/>
      <c r="AO61" s="184"/>
      <c r="AP61" s="184">
        <v>12730272</v>
      </c>
      <c r="AQ61" s="184"/>
      <c r="AR61" s="184"/>
      <c r="AS61" s="184"/>
      <c r="AT61" s="184"/>
      <c r="AU61" s="184"/>
      <c r="AV61" s="185">
        <v>249912</v>
      </c>
      <c r="AW61" s="185"/>
      <c r="AX61" s="185"/>
      <c r="AY61" s="184">
        <v>699267</v>
      </c>
      <c r="AZ61" s="185"/>
      <c r="BA61" s="185">
        <v>52642</v>
      </c>
      <c r="BB61" s="185"/>
      <c r="BC61" s="185"/>
      <c r="BD61" s="185">
        <v>308377</v>
      </c>
      <c r="BE61" s="184">
        <v>816302</v>
      </c>
      <c r="BF61" s="185">
        <v>959519</v>
      </c>
      <c r="BG61" s="185"/>
      <c r="BH61" s="185">
        <v>319362</v>
      </c>
      <c r="BI61" s="185"/>
      <c r="BJ61" s="185">
        <v>411257</v>
      </c>
      <c r="BK61" s="185">
        <v>1104978</v>
      </c>
      <c r="BL61" s="185">
        <v>943149</v>
      </c>
      <c r="BM61" s="185">
        <v>90616</v>
      </c>
      <c r="BN61" s="185">
        <f>1949210+26790+198061</f>
        <v>2174061</v>
      </c>
      <c r="BO61" s="185">
        <v>137195</v>
      </c>
      <c r="BP61" s="185"/>
      <c r="BQ61" s="185"/>
      <c r="BR61" s="185">
        <f>293177+34614</f>
        <v>327791</v>
      </c>
      <c r="BS61" s="185"/>
      <c r="BT61" s="185"/>
      <c r="BU61" s="185"/>
      <c r="BV61" s="185">
        <v>1111117</v>
      </c>
      <c r="BW61" s="185">
        <v>164578</v>
      </c>
      <c r="BX61" s="185"/>
      <c r="BY61" s="185">
        <f>461820+995290+1015138</f>
        <v>2472248</v>
      </c>
      <c r="BZ61" s="185"/>
      <c r="CA61" s="185">
        <v>195087</v>
      </c>
      <c r="CB61" s="185"/>
      <c r="CC61" s="185">
        <f>165654+191547+52544-6</f>
        <v>409739</v>
      </c>
      <c r="CD61" s="249" t="s">
        <v>221</v>
      </c>
      <c r="CE61" s="195">
        <f t="shared" si="0"/>
        <v>46207589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543310</v>
      </c>
      <c r="D62" s="195">
        <f t="shared" si="1"/>
        <v>0</v>
      </c>
      <c r="E62" s="195">
        <f t="shared" si="1"/>
        <v>1394650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570904</v>
      </c>
      <c r="Q62" s="195">
        <f t="shared" si="1"/>
        <v>362085</v>
      </c>
      <c r="R62" s="195">
        <f t="shared" si="1"/>
        <v>209076</v>
      </c>
      <c r="S62" s="195">
        <f t="shared" si="1"/>
        <v>0</v>
      </c>
      <c r="T62" s="195">
        <f t="shared" si="1"/>
        <v>0</v>
      </c>
      <c r="U62" s="195">
        <f t="shared" si="1"/>
        <v>441526</v>
      </c>
      <c r="V62" s="195">
        <f t="shared" si="1"/>
        <v>0</v>
      </c>
      <c r="W62" s="195">
        <f t="shared" si="1"/>
        <v>66864</v>
      </c>
      <c r="X62" s="195">
        <f t="shared" si="1"/>
        <v>127965</v>
      </c>
      <c r="Y62" s="195">
        <f t="shared" si="1"/>
        <v>500648</v>
      </c>
      <c r="Z62" s="195">
        <f t="shared" si="1"/>
        <v>0</v>
      </c>
      <c r="AA62" s="195">
        <f t="shared" si="1"/>
        <v>35761</v>
      </c>
      <c r="AB62" s="195">
        <f t="shared" si="1"/>
        <v>475072</v>
      </c>
      <c r="AC62" s="195">
        <f t="shared" si="1"/>
        <v>256357</v>
      </c>
      <c r="AD62" s="195">
        <f t="shared" si="1"/>
        <v>0</v>
      </c>
      <c r="AE62" s="195">
        <f t="shared" si="1"/>
        <v>360663</v>
      </c>
      <c r="AF62" s="195">
        <f t="shared" si="1"/>
        <v>0</v>
      </c>
      <c r="AG62" s="195">
        <f t="shared" si="1"/>
        <v>613418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3559420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72890</v>
      </c>
      <c r="AW62" s="195">
        <f t="shared" si="1"/>
        <v>0</v>
      </c>
      <c r="AX62" s="195">
        <f t="shared" si="1"/>
        <v>0</v>
      </c>
      <c r="AY62" s="195">
        <f>ROUND(AY47+AY48,0)</f>
        <v>352035</v>
      </c>
      <c r="AZ62" s="195">
        <f>ROUND(AZ47+AZ48,0)</f>
        <v>0</v>
      </c>
      <c r="BA62" s="195">
        <f>ROUND(BA47+BA48,0)</f>
        <v>18559</v>
      </c>
      <c r="BB62" s="195">
        <f t="shared" si="1"/>
        <v>0</v>
      </c>
      <c r="BC62" s="195">
        <f t="shared" si="1"/>
        <v>0</v>
      </c>
      <c r="BD62" s="195">
        <f t="shared" si="1"/>
        <v>103735</v>
      </c>
      <c r="BE62" s="195">
        <f t="shared" si="1"/>
        <v>305924</v>
      </c>
      <c r="BF62" s="195">
        <f t="shared" si="1"/>
        <v>420967</v>
      </c>
      <c r="BG62" s="195">
        <f t="shared" si="1"/>
        <v>0</v>
      </c>
      <c r="BH62" s="195">
        <f t="shared" si="1"/>
        <v>106454</v>
      </c>
      <c r="BI62" s="195">
        <f t="shared" si="1"/>
        <v>0</v>
      </c>
      <c r="BJ62" s="195">
        <f t="shared" si="1"/>
        <v>132410</v>
      </c>
      <c r="BK62" s="195">
        <f t="shared" si="1"/>
        <v>464031</v>
      </c>
      <c r="BL62" s="195">
        <f t="shared" si="1"/>
        <v>412071</v>
      </c>
      <c r="BM62" s="195">
        <f t="shared" si="1"/>
        <v>24065</v>
      </c>
      <c r="BN62" s="195">
        <f t="shared" si="1"/>
        <v>510827</v>
      </c>
      <c r="BO62" s="195">
        <f t="shared" ref="BO62:CC62" si="2">ROUND(BO47+BO48,0)</f>
        <v>48531</v>
      </c>
      <c r="BP62" s="195">
        <f t="shared" si="2"/>
        <v>0</v>
      </c>
      <c r="BQ62" s="195">
        <f t="shared" si="2"/>
        <v>0</v>
      </c>
      <c r="BR62" s="195">
        <f t="shared" si="2"/>
        <v>89726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492710</v>
      </c>
      <c r="BW62" s="195">
        <f t="shared" si="2"/>
        <v>56071</v>
      </c>
      <c r="BX62" s="195">
        <f t="shared" si="2"/>
        <v>0</v>
      </c>
      <c r="BY62" s="195">
        <f t="shared" si="2"/>
        <v>775186</v>
      </c>
      <c r="BZ62" s="195">
        <f t="shared" si="2"/>
        <v>0</v>
      </c>
      <c r="CA62" s="195">
        <f t="shared" si="2"/>
        <v>59576</v>
      </c>
      <c r="CB62" s="195">
        <f t="shared" si="2"/>
        <v>0</v>
      </c>
      <c r="CC62" s="195">
        <f t="shared" si="2"/>
        <v>144986</v>
      </c>
      <c r="CD62" s="249" t="s">
        <v>221</v>
      </c>
      <c r="CE62" s="195">
        <f t="shared" si="0"/>
        <v>14108473</v>
      </c>
      <c r="CF62" s="252"/>
    </row>
    <row r="63" spans="1:84" ht="12.6" customHeight="1" x14ac:dyDescent="0.25">
      <c r="A63" s="171" t="s">
        <v>236</v>
      </c>
      <c r="B63" s="175"/>
      <c r="C63" s="184">
        <v>165669</v>
      </c>
      <c r="D63" s="184"/>
      <c r="E63" s="184">
        <f>34071+128943+740</f>
        <v>163754</v>
      </c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>
        <v>74297</v>
      </c>
      <c r="Q63" s="184"/>
      <c r="R63" s="184">
        <v>20120</v>
      </c>
      <c r="S63" s="184"/>
      <c r="T63" s="184"/>
      <c r="U63" s="184">
        <v>11385</v>
      </c>
      <c r="V63" s="184"/>
      <c r="W63" s="184"/>
      <c r="X63" s="184"/>
      <c r="Y63" s="184"/>
      <c r="Z63" s="184"/>
      <c r="AA63" s="184"/>
      <c r="AB63" s="184"/>
      <c r="AC63" s="184"/>
      <c r="AD63" s="184"/>
      <c r="AE63" s="184">
        <v>78070</v>
      </c>
      <c r="AF63" s="184"/>
      <c r="AG63" s="184">
        <f>231932+2627997</f>
        <v>2859929</v>
      </c>
      <c r="AH63" s="184"/>
      <c r="AI63" s="184"/>
      <c r="AJ63" s="184"/>
      <c r="AK63" s="184"/>
      <c r="AL63" s="184"/>
      <c r="AM63" s="184"/>
      <c r="AN63" s="184"/>
      <c r="AO63" s="184"/>
      <c r="AP63" s="184">
        <f>1020855-2</f>
        <v>1020853</v>
      </c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>
        <f>65687+75000</f>
        <v>140687</v>
      </c>
      <c r="BO63" s="184"/>
      <c r="BP63" s="184"/>
      <c r="BQ63" s="184"/>
      <c r="BR63" s="184"/>
      <c r="BS63" s="184"/>
      <c r="BT63" s="184"/>
      <c r="BU63" s="184"/>
      <c r="BV63" s="184"/>
      <c r="BW63" s="184">
        <v>2626</v>
      </c>
      <c r="BX63" s="184"/>
      <c r="BY63" s="184"/>
      <c r="BZ63" s="184"/>
      <c r="CA63" s="184"/>
      <c r="CB63" s="184"/>
      <c r="CC63" s="184"/>
      <c r="CD63" s="249" t="s">
        <v>221</v>
      </c>
      <c r="CE63" s="195">
        <f t="shared" si="0"/>
        <v>4537390</v>
      </c>
      <c r="CF63" s="252"/>
    </row>
    <row r="64" spans="1:84" ht="12.6" customHeight="1" x14ac:dyDescent="0.25">
      <c r="A64" s="171" t="s">
        <v>237</v>
      </c>
      <c r="B64" s="175"/>
      <c r="C64" s="184">
        <v>156180</v>
      </c>
      <c r="D64" s="184"/>
      <c r="E64" s="184">
        <f>159102+3213+105</f>
        <v>162420</v>
      </c>
      <c r="F64" s="184"/>
      <c r="G64" s="184"/>
      <c r="H64" s="184"/>
      <c r="I64" s="184"/>
      <c r="J64" s="184">
        <v>17286</v>
      </c>
      <c r="K64" s="184"/>
      <c r="L64" s="184"/>
      <c r="M64" s="184"/>
      <c r="N64" s="184"/>
      <c r="O64" s="184">
        <v>64542</v>
      </c>
      <c r="P64" s="184">
        <f>559300+44591+66326+39762</f>
        <v>709979</v>
      </c>
      <c r="Q64" s="184">
        <v>113223</v>
      </c>
      <c r="R64" s="184">
        <v>72179</v>
      </c>
      <c r="S64" s="184">
        <f>2748721+1465</f>
        <v>2750186</v>
      </c>
      <c r="T64" s="184"/>
      <c r="U64" s="184">
        <v>1264594</v>
      </c>
      <c r="V64" s="184"/>
      <c r="W64" s="184">
        <v>18685</v>
      </c>
      <c r="X64" s="184">
        <v>153472</v>
      </c>
      <c r="Y64" s="184">
        <f>68344+76864+5134</f>
        <v>150342</v>
      </c>
      <c r="Z64" s="184"/>
      <c r="AA64" s="184">
        <v>30942</v>
      </c>
      <c r="AB64" s="184">
        <f>2018901+5285+416462</f>
        <v>2440648</v>
      </c>
      <c r="AC64" s="184">
        <v>100092</v>
      </c>
      <c r="AD64" s="184"/>
      <c r="AE64" s="184">
        <v>32494</v>
      </c>
      <c r="AF64" s="184"/>
      <c r="AG64" s="184">
        <f>263185+18</f>
        <v>263203</v>
      </c>
      <c r="AH64" s="184"/>
      <c r="AI64" s="184"/>
      <c r="AJ64" s="184"/>
      <c r="AK64" s="184"/>
      <c r="AL64" s="184"/>
      <c r="AM64" s="184"/>
      <c r="AN64" s="184"/>
      <c r="AO64" s="184"/>
      <c r="AP64" s="184">
        <v>943583</v>
      </c>
      <c r="AQ64" s="184"/>
      <c r="AR64" s="184"/>
      <c r="AS64" s="184"/>
      <c r="AT64" s="184"/>
      <c r="AU64" s="184"/>
      <c r="AV64" s="184">
        <v>5467</v>
      </c>
      <c r="AW64" s="184"/>
      <c r="AX64" s="184"/>
      <c r="AY64" s="184">
        <v>691906</v>
      </c>
      <c r="AZ64" s="184"/>
      <c r="BA64" s="184">
        <v>61066</v>
      </c>
      <c r="BB64" s="184"/>
      <c r="BC64" s="184"/>
      <c r="BD64" s="184">
        <v>3825</v>
      </c>
      <c r="BE64" s="184">
        <v>91857</v>
      </c>
      <c r="BF64" s="184">
        <v>214261</v>
      </c>
      <c r="BG64" s="184"/>
      <c r="BH64" s="184">
        <v>487246</v>
      </c>
      <c r="BI64" s="184"/>
      <c r="BJ64" s="184">
        <v>4478</v>
      </c>
      <c r="BK64" s="184">
        <v>10882</v>
      </c>
      <c r="BL64" s="184">
        <v>14900</v>
      </c>
      <c r="BM64" s="184">
        <v>1631</v>
      </c>
      <c r="BN64" s="184">
        <f>70694+1776</f>
        <v>72470</v>
      </c>
      <c r="BO64" s="184">
        <v>25823</v>
      </c>
      <c r="BP64" s="184">
        <v>180</v>
      </c>
      <c r="BQ64" s="184"/>
      <c r="BR64" s="184">
        <f>13778+807</f>
        <v>14585</v>
      </c>
      <c r="BS64" s="184"/>
      <c r="BT64" s="184"/>
      <c r="BU64" s="184"/>
      <c r="BV64" s="184">
        <v>15424</v>
      </c>
      <c r="BW64" s="184">
        <v>5081</v>
      </c>
      <c r="BX64" s="184"/>
      <c r="BY64" s="184">
        <f>7351+6552+6+6709</f>
        <v>20618</v>
      </c>
      <c r="BZ64" s="184"/>
      <c r="CA64" s="184">
        <v>9992</v>
      </c>
      <c r="CB64" s="184"/>
      <c r="CC64" s="184">
        <f>105+4183+3276+5093+1916+28396+205</f>
        <v>43174</v>
      </c>
      <c r="CD64" s="249" t="s">
        <v>221</v>
      </c>
      <c r="CE64" s="195">
        <f t="shared" si="0"/>
        <v>11238916</v>
      </c>
      <c r="CF64" s="252"/>
    </row>
    <row r="65" spans="1:84" ht="12.6" customHeight="1" x14ac:dyDescent="0.25">
      <c r="A65" s="171" t="s">
        <v>238</v>
      </c>
      <c r="B65" s="175"/>
      <c r="C65" s="184">
        <v>1384</v>
      </c>
      <c r="D65" s="184"/>
      <c r="E65" s="184">
        <f>462+1468</f>
        <v>1930</v>
      </c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>
        <v>1754</v>
      </c>
      <c r="V65" s="184"/>
      <c r="W65" s="184"/>
      <c r="X65" s="184"/>
      <c r="Y65" s="184">
        <f>692</f>
        <v>692</v>
      </c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>
        <v>31314</v>
      </c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>
        <v>937</v>
      </c>
      <c r="BE65" s="184">
        <f>635627-1</f>
        <v>635626</v>
      </c>
      <c r="BF65" s="184">
        <v>73505</v>
      </c>
      <c r="BG65" s="184"/>
      <c r="BH65" s="184">
        <v>179590</v>
      </c>
      <c r="BI65" s="184"/>
      <c r="BJ65" s="184"/>
      <c r="BK65" s="184"/>
      <c r="BL65" s="184">
        <v>84</v>
      </c>
      <c r="BM65" s="184"/>
      <c r="BN65" s="184">
        <f>1315+520</f>
        <v>1835</v>
      </c>
      <c r="BO65" s="184">
        <v>1501</v>
      </c>
      <c r="BP65" s="184"/>
      <c r="BQ65" s="184"/>
      <c r="BR65" s="184">
        <v>84</v>
      </c>
      <c r="BS65" s="184"/>
      <c r="BT65" s="184"/>
      <c r="BU65" s="184"/>
      <c r="BV65" s="184">
        <v>2705</v>
      </c>
      <c r="BW65" s="184"/>
      <c r="BX65" s="184"/>
      <c r="BY65" s="184">
        <f>4577+1126+5207</f>
        <v>10910</v>
      </c>
      <c r="BZ65" s="184"/>
      <c r="CA65" s="184">
        <v>692</v>
      </c>
      <c r="CB65" s="184"/>
      <c r="CC65" s="184">
        <f>1172+692+950</f>
        <v>2814</v>
      </c>
      <c r="CD65" s="249" t="s">
        <v>221</v>
      </c>
      <c r="CE65" s="195">
        <f t="shared" si="0"/>
        <v>947357</v>
      </c>
      <c r="CF65" s="252"/>
    </row>
    <row r="66" spans="1:84" ht="12.6" customHeight="1" x14ac:dyDescent="0.25">
      <c r="A66" s="171" t="s">
        <v>239</v>
      </c>
      <c r="B66" s="175"/>
      <c r="C66" s="184">
        <v>17733</v>
      </c>
      <c r="D66" s="184"/>
      <c r="E66" s="184">
        <f>35486+0+207720</f>
        <v>243206</v>
      </c>
      <c r="F66" s="184"/>
      <c r="G66" s="184"/>
      <c r="H66" s="184"/>
      <c r="I66" s="184"/>
      <c r="J66" s="184">
        <v>7383</v>
      </c>
      <c r="K66" s="184"/>
      <c r="L66" s="184"/>
      <c r="M66" s="184"/>
      <c r="N66" s="184"/>
      <c r="O66" s="184">
        <v>8938</v>
      </c>
      <c r="P66" s="184">
        <f>126938+1537+47487+18047</f>
        <v>194009</v>
      </c>
      <c r="Q66" s="184">
        <v>6575</v>
      </c>
      <c r="R66" s="184">
        <v>58763</v>
      </c>
      <c r="S66" s="184">
        <v>8</v>
      </c>
      <c r="T66" s="184"/>
      <c r="U66" s="184">
        <v>889645</v>
      </c>
      <c r="V66" s="184"/>
      <c r="W66" s="184">
        <v>167522</v>
      </c>
      <c r="X66" s="184">
        <v>121631</v>
      </c>
      <c r="Y66" s="184">
        <f>511947+51681+27307</f>
        <v>590935</v>
      </c>
      <c r="Z66" s="184"/>
      <c r="AA66" s="184">
        <v>25594</v>
      </c>
      <c r="AB66" s="184">
        <f>192771+65911+1656</f>
        <v>260338</v>
      </c>
      <c r="AC66" s="184">
        <v>32163</v>
      </c>
      <c r="AD66" s="184"/>
      <c r="AE66" s="184">
        <v>20878</v>
      </c>
      <c r="AF66" s="184"/>
      <c r="AG66" s="184">
        <f>18592</f>
        <v>18592</v>
      </c>
      <c r="AH66" s="184"/>
      <c r="AI66" s="184"/>
      <c r="AJ66" s="184"/>
      <c r="AK66" s="184"/>
      <c r="AL66" s="184"/>
      <c r="AM66" s="184"/>
      <c r="AN66" s="184"/>
      <c r="AO66" s="184"/>
      <c r="AP66" s="184">
        <v>223062</v>
      </c>
      <c r="AQ66" s="184"/>
      <c r="AR66" s="184"/>
      <c r="AS66" s="184"/>
      <c r="AT66" s="184"/>
      <c r="AU66" s="184"/>
      <c r="AV66" s="184">
        <v>6780</v>
      </c>
      <c r="AW66" s="184"/>
      <c r="AX66" s="184"/>
      <c r="AY66" s="184">
        <v>22454</v>
      </c>
      <c r="AZ66" s="184"/>
      <c r="BA66" s="184">
        <v>142728</v>
      </c>
      <c r="BB66" s="184"/>
      <c r="BC66" s="184"/>
      <c r="BD66" s="184">
        <v>8105</v>
      </c>
      <c r="BE66" s="184">
        <v>394618</v>
      </c>
      <c r="BF66" s="184">
        <v>153975</v>
      </c>
      <c r="BG66" s="184"/>
      <c r="BH66" s="184">
        <f>3114152-1</f>
        <v>3114151</v>
      </c>
      <c r="BI66" s="184"/>
      <c r="BJ66" s="184">
        <v>15007</v>
      </c>
      <c r="BK66" s="184">
        <v>107208</v>
      </c>
      <c r="BL66" s="184">
        <v>38954</v>
      </c>
      <c r="BM66" s="184">
        <v>24247</v>
      </c>
      <c r="BN66" s="184">
        <f>846190+23943</f>
        <v>870133</v>
      </c>
      <c r="BO66" s="184">
        <v>16788</v>
      </c>
      <c r="BP66" s="184">
        <v>406687</v>
      </c>
      <c r="BQ66" s="184"/>
      <c r="BR66" s="184">
        <f>163212</f>
        <v>163212</v>
      </c>
      <c r="BS66" s="184"/>
      <c r="BT66" s="184"/>
      <c r="BU66" s="184"/>
      <c r="BV66" s="184">
        <v>349314</v>
      </c>
      <c r="BW66" s="184">
        <v>13287</v>
      </c>
      <c r="BX66" s="184"/>
      <c r="BY66" s="184">
        <f>36354+22865+165254</f>
        <v>224473</v>
      </c>
      <c r="BZ66" s="184"/>
      <c r="CA66" s="184">
        <v>18628</v>
      </c>
      <c r="CB66" s="184"/>
      <c r="CC66" s="184">
        <f>1197+42414+2+68532+6042+18049</f>
        <v>136236</v>
      </c>
      <c r="CD66" s="249" t="s">
        <v>221</v>
      </c>
      <c r="CE66" s="195">
        <f t="shared" si="0"/>
        <v>9113960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283565</v>
      </c>
      <c r="D67" s="195">
        <f>ROUND(D51+D52,0)</f>
        <v>0</v>
      </c>
      <c r="E67" s="195">
        <f t="shared" ref="E67:BP67" si="3">ROUND(E51+E52,0)</f>
        <v>837583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20952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42426</v>
      </c>
      <c r="P67" s="195">
        <f t="shared" si="3"/>
        <v>285568</v>
      </c>
      <c r="Q67" s="195">
        <f t="shared" si="3"/>
        <v>315275</v>
      </c>
      <c r="R67" s="195">
        <f t="shared" si="3"/>
        <v>13547</v>
      </c>
      <c r="S67" s="195">
        <f t="shared" si="3"/>
        <v>129238</v>
      </c>
      <c r="T67" s="195">
        <f t="shared" si="3"/>
        <v>0</v>
      </c>
      <c r="U67" s="195">
        <f t="shared" si="3"/>
        <v>180680</v>
      </c>
      <c r="V67" s="195">
        <f t="shared" si="3"/>
        <v>0</v>
      </c>
      <c r="W67" s="195">
        <f t="shared" si="3"/>
        <v>92997</v>
      </c>
      <c r="X67" s="195">
        <f t="shared" si="3"/>
        <v>34455</v>
      </c>
      <c r="Y67" s="195">
        <f t="shared" si="3"/>
        <v>231817</v>
      </c>
      <c r="Z67" s="195">
        <f t="shared" si="3"/>
        <v>0</v>
      </c>
      <c r="AA67" s="195">
        <f t="shared" si="3"/>
        <v>30012</v>
      </c>
      <c r="AB67" s="195">
        <f t="shared" si="3"/>
        <v>79058</v>
      </c>
      <c r="AC67" s="195">
        <f t="shared" si="3"/>
        <v>35021</v>
      </c>
      <c r="AD67" s="195">
        <f t="shared" si="3"/>
        <v>0</v>
      </c>
      <c r="AE67" s="195">
        <f t="shared" si="3"/>
        <v>169093</v>
      </c>
      <c r="AF67" s="195">
        <f t="shared" si="3"/>
        <v>0</v>
      </c>
      <c r="AG67" s="195">
        <f t="shared" si="3"/>
        <v>415154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660221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67603</v>
      </c>
      <c r="AW67" s="195">
        <f t="shared" si="3"/>
        <v>0</v>
      </c>
      <c r="AX67" s="195">
        <f t="shared" si="3"/>
        <v>0</v>
      </c>
      <c r="AY67" s="195">
        <f t="shared" si="3"/>
        <v>219229</v>
      </c>
      <c r="AZ67" s="195">
        <f>ROUND(AZ51+AZ52,0)</f>
        <v>0</v>
      </c>
      <c r="BA67" s="195">
        <f>ROUND(BA51+BA52,0)</f>
        <v>63552</v>
      </c>
      <c r="BB67" s="195">
        <f t="shared" si="3"/>
        <v>0</v>
      </c>
      <c r="BC67" s="195">
        <f t="shared" si="3"/>
        <v>0</v>
      </c>
      <c r="BD67" s="195">
        <f t="shared" si="3"/>
        <v>148011</v>
      </c>
      <c r="BE67" s="195">
        <f t="shared" si="3"/>
        <v>1077677</v>
      </c>
      <c r="BF67" s="195">
        <f t="shared" si="3"/>
        <v>92649</v>
      </c>
      <c r="BG67" s="195">
        <f t="shared" si="3"/>
        <v>0</v>
      </c>
      <c r="BH67" s="195">
        <f t="shared" si="3"/>
        <v>129072</v>
      </c>
      <c r="BI67" s="195">
        <f t="shared" si="3"/>
        <v>0</v>
      </c>
      <c r="BJ67" s="195">
        <f t="shared" si="3"/>
        <v>67611</v>
      </c>
      <c r="BK67" s="195">
        <f t="shared" si="3"/>
        <v>92997</v>
      </c>
      <c r="BL67" s="195">
        <f t="shared" si="3"/>
        <v>93964</v>
      </c>
      <c r="BM67" s="195">
        <f t="shared" si="3"/>
        <v>23304</v>
      </c>
      <c r="BN67" s="195">
        <f t="shared" si="3"/>
        <v>212051</v>
      </c>
      <c r="BO67" s="195">
        <f t="shared" si="3"/>
        <v>16996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23966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152306</v>
      </c>
      <c r="BW67" s="195">
        <f t="shared" si="4"/>
        <v>44473</v>
      </c>
      <c r="BX67" s="195">
        <f t="shared" si="4"/>
        <v>0</v>
      </c>
      <c r="BY67" s="195">
        <f t="shared" si="4"/>
        <v>89120</v>
      </c>
      <c r="BZ67" s="195">
        <f t="shared" si="4"/>
        <v>0</v>
      </c>
      <c r="CA67" s="195">
        <f t="shared" si="4"/>
        <v>45562</v>
      </c>
      <c r="CB67" s="195">
        <f t="shared" si="4"/>
        <v>0</v>
      </c>
      <c r="CC67" s="195">
        <f t="shared" si="4"/>
        <v>139195</v>
      </c>
      <c r="CD67" s="249" t="s">
        <v>221</v>
      </c>
      <c r="CE67" s="195">
        <f t="shared" si="0"/>
        <v>6656000</v>
      </c>
      <c r="CF67" s="252"/>
    </row>
    <row r="68" spans="1:84" ht="12.6" customHeight="1" x14ac:dyDescent="0.25">
      <c r="A68" s="171" t="s">
        <v>240</v>
      </c>
      <c r="B68" s="175"/>
      <c r="C68" s="184">
        <v>2573</v>
      </c>
      <c r="D68" s="184"/>
      <c r="E68" s="184">
        <f>7058+0+128</f>
        <v>7186</v>
      </c>
      <c r="F68" s="184"/>
      <c r="G68" s="184"/>
      <c r="H68" s="184"/>
      <c r="I68" s="184"/>
      <c r="J68" s="184">
        <v>0</v>
      </c>
      <c r="K68" s="184"/>
      <c r="L68" s="184"/>
      <c r="M68" s="184"/>
      <c r="N68" s="184"/>
      <c r="O68" s="184">
        <v>1491</v>
      </c>
      <c r="P68" s="184">
        <f>116142+246-1</f>
        <v>116387</v>
      </c>
      <c r="Q68" s="184">
        <v>3278</v>
      </c>
      <c r="R68" s="184">
        <v>1418</v>
      </c>
      <c r="S68" s="184">
        <v>6572</v>
      </c>
      <c r="T68" s="184"/>
      <c r="U68" s="184">
        <v>11160</v>
      </c>
      <c r="V68" s="184"/>
      <c r="W68" s="184"/>
      <c r="X68" s="184"/>
      <c r="Y68" s="184">
        <f>6486+363</f>
        <v>6849</v>
      </c>
      <c r="Z68" s="184"/>
      <c r="AA68" s="184"/>
      <c r="AB68" s="184"/>
      <c r="AC68" s="184">
        <v>19176</v>
      </c>
      <c r="AD68" s="184"/>
      <c r="AE68" s="184">
        <v>6901</v>
      </c>
      <c r="AF68" s="184"/>
      <c r="AG68" s="184">
        <f>6702</f>
        <v>6702</v>
      </c>
      <c r="AH68" s="184"/>
      <c r="AI68" s="184"/>
      <c r="AJ68" s="184"/>
      <c r="AK68" s="184"/>
      <c r="AL68" s="184"/>
      <c r="AM68" s="184"/>
      <c r="AN68" s="184"/>
      <c r="AO68" s="184"/>
      <c r="AP68" s="184">
        <v>71770</v>
      </c>
      <c r="AQ68" s="184"/>
      <c r="AR68" s="184"/>
      <c r="AS68" s="184"/>
      <c r="AT68" s="184"/>
      <c r="AU68" s="184"/>
      <c r="AV68" s="184"/>
      <c r="AW68" s="184"/>
      <c r="AX68" s="184"/>
      <c r="AY68" s="184">
        <v>3382</v>
      </c>
      <c r="AZ68" s="184"/>
      <c r="BA68" s="184"/>
      <c r="BB68" s="184"/>
      <c r="BC68" s="184"/>
      <c r="BD68" s="184">
        <v>13849</v>
      </c>
      <c r="BE68" s="184">
        <v>39099</v>
      </c>
      <c r="BF68" s="184">
        <v>380</v>
      </c>
      <c r="BG68" s="184"/>
      <c r="BH68" s="184">
        <v>72219</v>
      </c>
      <c r="BI68" s="184"/>
      <c r="BJ68" s="184">
        <v>4826</v>
      </c>
      <c r="BK68" s="184">
        <v>77790</v>
      </c>
      <c r="BL68" s="184">
        <v>8235</v>
      </c>
      <c r="BM68" s="184">
        <v>1787</v>
      </c>
      <c r="BN68" s="184">
        <f>26177</f>
        <v>26177</v>
      </c>
      <c r="BO68" s="184">
        <v>2352</v>
      </c>
      <c r="BP68" s="184"/>
      <c r="BQ68" s="184"/>
      <c r="BR68" s="184">
        <v>4476</v>
      </c>
      <c r="BS68" s="184"/>
      <c r="BT68" s="184"/>
      <c r="BU68" s="184"/>
      <c r="BV68" s="184">
        <v>13184</v>
      </c>
      <c r="BW68" s="184">
        <v>263</v>
      </c>
      <c r="BX68" s="184"/>
      <c r="BY68" s="184">
        <f>3626+2446+545</f>
        <v>6617</v>
      </c>
      <c r="BZ68" s="184"/>
      <c r="CA68" s="184">
        <v>18224</v>
      </c>
      <c r="CB68" s="184"/>
      <c r="CC68" s="184">
        <f>14670+162+10857+5236</f>
        <v>30925</v>
      </c>
      <c r="CD68" s="249" t="s">
        <v>221</v>
      </c>
      <c r="CE68" s="195">
        <f t="shared" si="0"/>
        <v>585248</v>
      </c>
      <c r="CF68" s="252"/>
    </row>
    <row r="69" spans="1:84" ht="12.6" customHeight="1" x14ac:dyDescent="0.25">
      <c r="A69" s="171" t="s">
        <v>241</v>
      </c>
      <c r="B69" s="175"/>
      <c r="C69" s="184">
        <v>8396</v>
      </c>
      <c r="D69" s="184"/>
      <c r="E69" s="184">
        <f>5885+5586+12310+5751</f>
        <v>29532</v>
      </c>
      <c r="F69" s="184"/>
      <c r="G69" s="184"/>
      <c r="H69" s="184"/>
      <c r="I69" s="184"/>
      <c r="J69" s="184">
        <v>1947</v>
      </c>
      <c r="K69" s="184"/>
      <c r="L69" s="184"/>
      <c r="M69" s="184"/>
      <c r="N69" s="184"/>
      <c r="O69" s="184">
        <v>7525</v>
      </c>
      <c r="P69" s="184">
        <f>2693+2723+1590+2167</f>
        <v>9173</v>
      </c>
      <c r="Q69" s="184">
        <v>3908</v>
      </c>
      <c r="R69" s="184">
        <f>3941+19154</f>
        <v>23095</v>
      </c>
      <c r="S69" s="184"/>
      <c r="T69" s="184"/>
      <c r="U69" s="184">
        <v>10312</v>
      </c>
      <c r="V69" s="184"/>
      <c r="W69" s="184">
        <v>2713</v>
      </c>
      <c r="X69" s="184">
        <v>1394</v>
      </c>
      <c r="Y69" s="184">
        <f>5490+1853+1698</f>
        <v>9041</v>
      </c>
      <c r="Z69" s="184"/>
      <c r="AA69" s="184">
        <v>6608</v>
      </c>
      <c r="AB69" s="184">
        <f>16942+1280+249</f>
        <v>18471</v>
      </c>
      <c r="AC69" s="184">
        <v>561</v>
      </c>
      <c r="AD69" s="184"/>
      <c r="AE69" s="184">
        <v>11335</v>
      </c>
      <c r="AF69" s="184"/>
      <c r="AG69" s="184">
        <f>7345+5500+25865+75</f>
        <v>38785</v>
      </c>
      <c r="AH69" s="184"/>
      <c r="AI69" s="184"/>
      <c r="AJ69" s="184"/>
      <c r="AK69" s="184"/>
      <c r="AL69" s="184"/>
      <c r="AM69" s="184"/>
      <c r="AN69" s="184"/>
      <c r="AO69" s="184"/>
      <c r="AP69" s="184">
        <f>158199+207618</f>
        <v>365817</v>
      </c>
      <c r="AQ69" s="184"/>
      <c r="AR69" s="184"/>
      <c r="AS69" s="184"/>
      <c r="AT69" s="184"/>
      <c r="AU69" s="184"/>
      <c r="AV69" s="184">
        <v>6118</v>
      </c>
      <c r="AW69" s="184"/>
      <c r="AX69" s="184"/>
      <c r="AY69" s="184">
        <v>195</v>
      </c>
      <c r="AZ69" s="184"/>
      <c r="BA69" s="184"/>
      <c r="BB69" s="184"/>
      <c r="BC69" s="184"/>
      <c r="BD69" s="184">
        <v>4713</v>
      </c>
      <c r="BE69" s="184">
        <v>22728</v>
      </c>
      <c r="BF69" s="184">
        <v>28576</v>
      </c>
      <c r="BG69" s="184"/>
      <c r="BH69" s="184">
        <v>67277</v>
      </c>
      <c r="BI69" s="184"/>
      <c r="BJ69" s="184">
        <v>112864</v>
      </c>
      <c r="BK69" s="184">
        <v>19606</v>
      </c>
      <c r="BL69" s="184">
        <v>9476</v>
      </c>
      <c r="BM69" s="184">
        <v>5068</v>
      </c>
      <c r="BN69" s="184">
        <f>311542+18404+83079+2143+23329</f>
        <v>438497</v>
      </c>
      <c r="BO69" s="184">
        <v>5077</v>
      </c>
      <c r="BP69" s="184">
        <v>152861</v>
      </c>
      <c r="BQ69" s="184"/>
      <c r="BR69" s="184">
        <v>164269</v>
      </c>
      <c r="BS69" s="184"/>
      <c r="BT69" s="184"/>
      <c r="BU69" s="184"/>
      <c r="BV69" s="184">
        <v>16792</v>
      </c>
      <c r="BW69" s="184">
        <v>38682</v>
      </c>
      <c r="BX69" s="184"/>
      <c r="BY69" s="184">
        <f>8029+7360+8228+410</f>
        <v>24027</v>
      </c>
      <c r="BZ69" s="184"/>
      <c r="CA69" s="184">
        <v>20604</v>
      </c>
      <c r="CB69" s="184"/>
      <c r="CC69" s="184">
        <f>67805+694+1363+10004+4418+207+2349-21</f>
        <v>86819</v>
      </c>
      <c r="CD69" s="188">
        <f>351814+654864+940307+6944+37267+174384-24782</f>
        <v>2140798</v>
      </c>
      <c r="CE69" s="195">
        <f t="shared" si="0"/>
        <v>3913660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>
        <v>141</v>
      </c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>
        <v>1489068</v>
      </c>
      <c r="S70" s="184"/>
      <c r="T70" s="184"/>
      <c r="U70" s="184"/>
      <c r="V70" s="184"/>
      <c r="W70" s="184"/>
      <c r="X70" s="184"/>
      <c r="Y70" s="184">
        <v>1756</v>
      </c>
      <c r="Z70" s="184"/>
      <c r="AA70" s="184"/>
      <c r="AB70" s="184">
        <f>1560637+964906</f>
        <v>2525543</v>
      </c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>
        <f>29174+24696</f>
        <v>53870</v>
      </c>
      <c r="AQ70" s="184">
        <v>0</v>
      </c>
      <c r="AR70" s="184"/>
      <c r="AS70" s="184"/>
      <c r="AT70" s="184"/>
      <c r="AU70" s="184"/>
      <c r="AV70" s="184">
        <v>8385</v>
      </c>
      <c r="AW70" s="184"/>
      <c r="AX70" s="184"/>
      <c r="AY70" s="184">
        <v>461272</v>
      </c>
      <c r="AZ70" s="184"/>
      <c r="BA70" s="184"/>
      <c r="BB70" s="184"/>
      <c r="BC70" s="184"/>
      <c r="BD70" s="184"/>
      <c r="BE70" s="184">
        <v>5530</v>
      </c>
      <c r="BF70" s="184"/>
      <c r="BG70" s="184"/>
      <c r="BH70" s="184"/>
      <c r="BI70" s="184"/>
      <c r="BJ70" s="184"/>
      <c r="BK70" s="184"/>
      <c r="BL70" s="184"/>
      <c r="BM70" s="184"/>
      <c r="BN70" s="184">
        <v>251735</v>
      </c>
      <c r="BO70" s="184">
        <f>45</f>
        <v>45</v>
      </c>
      <c r="BP70" s="184"/>
      <c r="BQ70" s="184"/>
      <c r="BR70" s="184">
        <v>151</v>
      </c>
      <c r="BS70" s="184"/>
      <c r="BT70" s="184"/>
      <c r="BU70" s="184"/>
      <c r="BV70" s="184">
        <v>41027</v>
      </c>
      <c r="BW70" s="184">
        <v>450</v>
      </c>
      <c r="BX70" s="184"/>
      <c r="BY70" s="184"/>
      <c r="BZ70" s="184"/>
      <c r="CA70" s="184"/>
      <c r="CB70" s="184"/>
      <c r="CC70" s="184"/>
      <c r="CD70" s="188">
        <f>449970+61543+1412517.85</f>
        <v>1924030.85</v>
      </c>
      <c r="CE70" s="195">
        <f t="shared" si="0"/>
        <v>6763003.8499999996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3156495</v>
      </c>
      <c r="D71" s="195">
        <f t="shared" ref="D71:AI71" si="5">SUM(D61:D69)-D70</f>
        <v>0</v>
      </c>
      <c r="E71" s="195">
        <f>SUM(E61:E69)-E70</f>
        <v>7727646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47568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124922</v>
      </c>
      <c r="P71" s="195">
        <f t="shared" si="5"/>
        <v>3538608</v>
      </c>
      <c r="Q71" s="195">
        <f t="shared" si="5"/>
        <v>1841985</v>
      </c>
      <c r="R71" s="195">
        <f t="shared" si="5"/>
        <v>-154055</v>
      </c>
      <c r="S71" s="195">
        <f t="shared" si="5"/>
        <v>2886004</v>
      </c>
      <c r="T71" s="195">
        <f t="shared" si="5"/>
        <v>0</v>
      </c>
      <c r="U71" s="195">
        <f t="shared" si="5"/>
        <v>4362009</v>
      </c>
      <c r="V71" s="195">
        <f t="shared" si="5"/>
        <v>0</v>
      </c>
      <c r="W71" s="195">
        <f t="shared" si="5"/>
        <v>526079</v>
      </c>
      <c r="X71" s="195">
        <f t="shared" si="5"/>
        <v>845505</v>
      </c>
      <c r="Y71" s="195">
        <f t="shared" si="5"/>
        <v>3187440</v>
      </c>
      <c r="Z71" s="195">
        <f t="shared" si="5"/>
        <v>0</v>
      </c>
      <c r="AA71" s="195">
        <f t="shared" si="5"/>
        <v>232230</v>
      </c>
      <c r="AB71" s="195">
        <f t="shared" si="5"/>
        <v>2333334</v>
      </c>
      <c r="AC71" s="195">
        <f t="shared" si="5"/>
        <v>1204791</v>
      </c>
      <c r="AD71" s="195">
        <f t="shared" si="5"/>
        <v>0</v>
      </c>
      <c r="AE71" s="195">
        <f t="shared" si="5"/>
        <v>2062824</v>
      </c>
      <c r="AF71" s="195">
        <f t="shared" si="5"/>
        <v>0</v>
      </c>
      <c r="AG71" s="195">
        <f t="shared" si="5"/>
        <v>6660820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19552442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400385</v>
      </c>
      <c r="AW71" s="195">
        <f t="shared" si="6"/>
        <v>0</v>
      </c>
      <c r="AX71" s="195">
        <f t="shared" si="6"/>
        <v>0</v>
      </c>
      <c r="AY71" s="195">
        <f t="shared" si="6"/>
        <v>1527196</v>
      </c>
      <c r="AZ71" s="195">
        <f t="shared" si="6"/>
        <v>0</v>
      </c>
      <c r="BA71" s="195">
        <f t="shared" si="6"/>
        <v>338547</v>
      </c>
      <c r="BB71" s="195">
        <f t="shared" si="6"/>
        <v>0</v>
      </c>
      <c r="BC71" s="195">
        <f t="shared" si="6"/>
        <v>0</v>
      </c>
      <c r="BD71" s="195">
        <f t="shared" si="6"/>
        <v>591552</v>
      </c>
      <c r="BE71" s="195">
        <f t="shared" si="6"/>
        <v>3378301</v>
      </c>
      <c r="BF71" s="195">
        <f t="shared" si="6"/>
        <v>1943832</v>
      </c>
      <c r="BG71" s="195">
        <f t="shared" si="6"/>
        <v>0</v>
      </c>
      <c r="BH71" s="195">
        <f t="shared" si="6"/>
        <v>4475371</v>
      </c>
      <c r="BI71" s="195">
        <f t="shared" si="6"/>
        <v>0</v>
      </c>
      <c r="BJ71" s="195">
        <f t="shared" si="6"/>
        <v>748453</v>
      </c>
      <c r="BK71" s="195">
        <f t="shared" si="6"/>
        <v>1877492</v>
      </c>
      <c r="BL71" s="195">
        <f t="shared" si="6"/>
        <v>1520833</v>
      </c>
      <c r="BM71" s="195">
        <f t="shared" si="6"/>
        <v>170718</v>
      </c>
      <c r="BN71" s="195">
        <f t="shared" si="6"/>
        <v>4195003</v>
      </c>
      <c r="BO71" s="195">
        <f t="shared" si="6"/>
        <v>254218</v>
      </c>
      <c r="BP71" s="195">
        <f t="shared" ref="BP71:CC71" si="7">SUM(BP61:BP69)-BP70</f>
        <v>559728</v>
      </c>
      <c r="BQ71" s="195">
        <f t="shared" si="7"/>
        <v>0</v>
      </c>
      <c r="BR71" s="195">
        <f t="shared" si="7"/>
        <v>787958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2112525</v>
      </c>
      <c r="BW71" s="195">
        <f t="shared" si="7"/>
        <v>324611</v>
      </c>
      <c r="BX71" s="195">
        <f t="shared" si="7"/>
        <v>0</v>
      </c>
      <c r="BY71" s="195">
        <f t="shared" si="7"/>
        <v>3623199</v>
      </c>
      <c r="BZ71" s="195">
        <f t="shared" si="7"/>
        <v>0</v>
      </c>
      <c r="CA71" s="195">
        <f t="shared" si="7"/>
        <v>368365</v>
      </c>
      <c r="CB71" s="195">
        <f t="shared" si="7"/>
        <v>0</v>
      </c>
      <c r="CC71" s="195">
        <f t="shared" si="7"/>
        <v>993888</v>
      </c>
      <c r="CD71" s="245">
        <f>CD69-CD70</f>
        <v>216767.14999999991</v>
      </c>
      <c r="CE71" s="195">
        <f>SUM(CE61:CE69)-CE70</f>
        <v>90545589.150000006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2136980</v>
      </c>
      <c r="CF72" s="252"/>
    </row>
    <row r="73" spans="1:84" ht="12.6" customHeight="1" x14ac:dyDescent="0.25">
      <c r="A73" s="171" t="s">
        <v>245</v>
      </c>
      <c r="B73" s="175"/>
      <c r="C73" s="184">
        <v>8210173</v>
      </c>
      <c r="D73" s="184"/>
      <c r="E73" s="184">
        <f>14921371+1468206+1049073-3</f>
        <v>17438647</v>
      </c>
      <c r="F73" s="184"/>
      <c r="G73" s="184"/>
      <c r="H73" s="184"/>
      <c r="I73" s="184"/>
      <c r="J73" s="184">
        <v>891227</v>
      </c>
      <c r="K73" s="184"/>
      <c r="L73" s="184"/>
      <c r="M73" s="184"/>
      <c r="N73" s="184"/>
      <c r="O73" s="184">
        <v>1831480</v>
      </c>
      <c r="P73" s="184">
        <f>4655336+10198+50269</f>
        <v>4715803</v>
      </c>
      <c r="Q73" s="184">
        <v>1020680</v>
      </c>
      <c r="R73" s="184">
        <v>605365</v>
      </c>
      <c r="S73" s="184">
        <v>2560800</v>
      </c>
      <c r="T73" s="184"/>
      <c r="U73" s="184">
        <v>4128772</v>
      </c>
      <c r="V73" s="184"/>
      <c r="W73" s="184">
        <v>382252</v>
      </c>
      <c r="X73" s="184">
        <v>1823929</v>
      </c>
      <c r="Y73" s="184">
        <f>769668+1106802</f>
        <v>1876470</v>
      </c>
      <c r="Z73" s="184"/>
      <c r="AA73" s="184">
        <v>135308</v>
      </c>
      <c r="AB73" s="184">
        <f>2985113</f>
        <v>2985113</v>
      </c>
      <c r="AC73" s="184">
        <v>3834232</v>
      </c>
      <c r="AD73" s="184"/>
      <c r="AE73" s="184">
        <v>560891</v>
      </c>
      <c r="AF73" s="184"/>
      <c r="AG73" s="184">
        <f>1561420+164529</f>
        <v>1725949</v>
      </c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54727091</v>
      </c>
      <c r="CF73" s="252"/>
    </row>
    <row r="74" spans="1:84" ht="12.6" customHeight="1" x14ac:dyDescent="0.25">
      <c r="A74" s="171" t="s">
        <v>246</v>
      </c>
      <c r="B74" s="175"/>
      <c r="C74" s="184">
        <v>1643943</v>
      </c>
      <c r="D74" s="184"/>
      <c r="E74" s="184">
        <f>2505290+95780+305506</f>
        <v>2906576</v>
      </c>
      <c r="F74" s="184"/>
      <c r="G74" s="184"/>
      <c r="H74" s="184"/>
      <c r="I74" s="184"/>
      <c r="J74" s="184">
        <v>65785</v>
      </c>
      <c r="K74" s="184"/>
      <c r="L74" s="184"/>
      <c r="M74" s="184"/>
      <c r="N74" s="184"/>
      <c r="O74" s="184">
        <v>484930</v>
      </c>
      <c r="P74" s="184">
        <f>7529074+662870+968880</f>
        <v>9160824</v>
      </c>
      <c r="Q74" s="184">
        <v>3903884</v>
      </c>
      <c r="R74" s="184">
        <v>1076763</v>
      </c>
      <c r="S74" s="184">
        <v>2322232</v>
      </c>
      <c r="T74" s="184"/>
      <c r="U74" s="184">
        <f>21895060-2</f>
        <v>21895058</v>
      </c>
      <c r="V74" s="184"/>
      <c r="W74" s="184">
        <v>6391772</v>
      </c>
      <c r="X74" s="184">
        <v>18243685</v>
      </c>
      <c r="Y74" s="184">
        <f>10893892+5771618</f>
        <v>16665510</v>
      </c>
      <c r="Z74" s="184"/>
      <c r="AA74" s="184">
        <v>554508</v>
      </c>
      <c r="AB74" s="184">
        <f>3594881+1766973</f>
        <v>5361854</v>
      </c>
      <c r="AC74" s="184">
        <v>2671209</v>
      </c>
      <c r="AD74" s="184"/>
      <c r="AE74" s="184">
        <v>5924985</v>
      </c>
      <c r="AF74" s="184"/>
      <c r="AG74" s="184">
        <f>33732589+5269433</f>
        <v>39002022</v>
      </c>
      <c r="AH74" s="184"/>
      <c r="AI74" s="184"/>
      <c r="AJ74" s="184"/>
      <c r="AK74" s="184"/>
      <c r="AL74" s="184"/>
      <c r="AM74" s="184"/>
      <c r="AN74" s="184"/>
      <c r="AO74" s="184"/>
      <c r="AP74" s="184">
        <v>25652413</v>
      </c>
      <c r="AQ74" s="184"/>
      <c r="AR74" s="184"/>
      <c r="AS74" s="184"/>
      <c r="AT74" s="184"/>
      <c r="AU74" s="184"/>
      <c r="AV74" s="184">
        <f>204469+32286+1028</f>
        <v>237783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164165736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9854116</v>
      </c>
      <c r="D75" s="195">
        <f t="shared" si="9"/>
        <v>0</v>
      </c>
      <c r="E75" s="195">
        <f t="shared" si="9"/>
        <v>20345223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957012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2316410</v>
      </c>
      <c r="P75" s="195">
        <f t="shared" si="9"/>
        <v>13876627</v>
      </c>
      <c r="Q75" s="195">
        <f t="shared" si="9"/>
        <v>4924564</v>
      </c>
      <c r="R75" s="195">
        <f t="shared" si="9"/>
        <v>1682128</v>
      </c>
      <c r="S75" s="195">
        <f t="shared" si="9"/>
        <v>4883032</v>
      </c>
      <c r="T75" s="195">
        <f t="shared" si="9"/>
        <v>0</v>
      </c>
      <c r="U75" s="195">
        <f t="shared" si="9"/>
        <v>26023830</v>
      </c>
      <c r="V75" s="195">
        <f t="shared" si="9"/>
        <v>0</v>
      </c>
      <c r="W75" s="195">
        <f t="shared" si="9"/>
        <v>6774024</v>
      </c>
      <c r="X75" s="195">
        <f t="shared" si="9"/>
        <v>20067614</v>
      </c>
      <c r="Y75" s="195">
        <f t="shared" si="9"/>
        <v>18541980</v>
      </c>
      <c r="Z75" s="195">
        <f t="shared" si="9"/>
        <v>0</v>
      </c>
      <c r="AA75" s="195">
        <f t="shared" si="9"/>
        <v>689816</v>
      </c>
      <c r="AB75" s="195">
        <f t="shared" si="9"/>
        <v>8346967</v>
      </c>
      <c r="AC75" s="195">
        <f t="shared" si="9"/>
        <v>6505441</v>
      </c>
      <c r="AD75" s="195">
        <f t="shared" si="9"/>
        <v>0</v>
      </c>
      <c r="AE75" s="195">
        <f t="shared" si="9"/>
        <v>6485876</v>
      </c>
      <c r="AF75" s="195">
        <f t="shared" si="9"/>
        <v>0</v>
      </c>
      <c r="AG75" s="195">
        <f t="shared" si="9"/>
        <v>40727971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25652413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237783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218892827</v>
      </c>
      <c r="CF75" s="252"/>
    </row>
    <row r="76" spans="1:84" ht="12.6" customHeight="1" x14ac:dyDescent="0.25">
      <c r="A76" s="171" t="s">
        <v>248</v>
      </c>
      <c r="B76" s="175"/>
      <c r="C76" s="184">
        <v>6510</v>
      </c>
      <c r="D76" s="184"/>
      <c r="E76" s="185">
        <f>14244+4985</f>
        <v>19229</v>
      </c>
      <c r="F76" s="185"/>
      <c r="G76" s="184"/>
      <c r="H76" s="184"/>
      <c r="I76" s="185"/>
      <c r="J76" s="185">
        <v>481</v>
      </c>
      <c r="K76" s="185"/>
      <c r="L76" s="185"/>
      <c r="M76" s="185"/>
      <c r="N76" s="185"/>
      <c r="O76" s="185">
        <v>974</v>
      </c>
      <c r="P76" s="185">
        <f>0+1177+5171+208</f>
        <v>6556</v>
      </c>
      <c r="Q76" s="185">
        <v>7238</v>
      </c>
      <c r="R76" s="185">
        <v>311</v>
      </c>
      <c r="S76" s="185">
        <v>2967</v>
      </c>
      <c r="T76" s="185"/>
      <c r="U76" s="185">
        <f>3262+886</f>
        <v>4148</v>
      </c>
      <c r="V76" s="185"/>
      <c r="W76" s="185">
        <v>2135</v>
      </c>
      <c r="X76" s="185">
        <v>791</v>
      </c>
      <c r="Y76" s="185">
        <f>4627+695</f>
        <v>5322</v>
      </c>
      <c r="Z76" s="185"/>
      <c r="AA76" s="185">
        <v>689</v>
      </c>
      <c r="AB76" s="185">
        <f>1815</f>
        <v>1815</v>
      </c>
      <c r="AC76" s="185">
        <f>804</f>
        <v>804</v>
      </c>
      <c r="AD76" s="185"/>
      <c r="AE76" s="185">
        <f>3882</f>
        <v>3882</v>
      </c>
      <c r="AF76" s="185"/>
      <c r="AG76" s="185">
        <f>9531</f>
        <v>9531</v>
      </c>
      <c r="AH76" s="185"/>
      <c r="AI76" s="185"/>
      <c r="AJ76" s="185"/>
      <c r="AK76" s="185"/>
      <c r="AL76" s="185"/>
      <c r="AM76" s="185"/>
      <c r="AN76" s="185"/>
      <c r="AO76" s="185"/>
      <c r="AP76" s="185">
        <v>0</v>
      </c>
      <c r="AQ76" s="185"/>
      <c r="AR76" s="185"/>
      <c r="AS76" s="185"/>
      <c r="AT76" s="185"/>
      <c r="AU76" s="185"/>
      <c r="AV76" s="185">
        <f>268+1157+127</f>
        <v>1552</v>
      </c>
      <c r="AW76" s="185"/>
      <c r="AX76" s="185"/>
      <c r="AY76" s="185">
        <f>5033</f>
        <v>5033</v>
      </c>
      <c r="AZ76" s="185"/>
      <c r="BA76" s="185">
        <f>1459</f>
        <v>1459</v>
      </c>
      <c r="BB76" s="185"/>
      <c r="BC76" s="185"/>
      <c r="BD76" s="185">
        <f>3398</f>
        <v>3398</v>
      </c>
      <c r="BE76" s="185">
        <f>14834+1539+6967+1401</f>
        <v>24741</v>
      </c>
      <c r="BF76" s="185">
        <f>1848+279</f>
        <v>2127</v>
      </c>
      <c r="BG76" s="185"/>
      <c r="BH76" s="185">
        <f>1790+1173.2</f>
        <v>2963.2</v>
      </c>
      <c r="BI76" s="185"/>
      <c r="BJ76" s="185">
        <f>0+1552.2</f>
        <v>1552.2</v>
      </c>
      <c r="BK76" s="185">
        <f>0+2135</f>
        <v>2135</v>
      </c>
      <c r="BL76" s="185">
        <f>238.2+1919</f>
        <v>2157.1999999999998</v>
      </c>
      <c r="BM76" s="185">
        <f>0+423+112</f>
        <v>535</v>
      </c>
      <c r="BN76" s="185">
        <f>2923+745.2+0+1200</f>
        <v>4868.2</v>
      </c>
      <c r="BO76" s="185">
        <f>111.2+279</f>
        <v>390.2</v>
      </c>
      <c r="BP76" s="185"/>
      <c r="BQ76" s="185"/>
      <c r="BR76" s="185">
        <f>0+550.2</f>
        <v>550.20000000000005</v>
      </c>
      <c r="BS76" s="185"/>
      <c r="BT76" s="185"/>
      <c r="BU76" s="185"/>
      <c r="BV76" s="185">
        <f>2723+773.6</f>
        <v>3496.6</v>
      </c>
      <c r="BW76" s="185">
        <f>1021</f>
        <v>1021</v>
      </c>
      <c r="BX76" s="185"/>
      <c r="BY76" s="185">
        <f>573+469+315+238+362+89</f>
        <v>2046</v>
      </c>
      <c r="BZ76" s="185"/>
      <c r="CA76" s="185">
        <f>1046</f>
        <v>1046</v>
      </c>
      <c r="CB76" s="185"/>
      <c r="CC76" s="185">
        <f>254.5+351+1397+1066.1+127</f>
        <v>3195.6</v>
      </c>
      <c r="CD76" s="249" t="s">
        <v>221</v>
      </c>
      <c r="CE76" s="195">
        <f t="shared" si="8"/>
        <v>137649.4</v>
      </c>
      <c r="CF76" s="195">
        <f>BE59-CE76</f>
        <v>-0.39999999999417923</v>
      </c>
    </row>
    <row r="77" spans="1:84" ht="12.6" customHeight="1" x14ac:dyDescent="0.25">
      <c r="A77" s="171" t="s">
        <v>249</v>
      </c>
      <c r="B77" s="175"/>
      <c r="C77" s="184">
        <v>5524.87</v>
      </c>
      <c r="D77" s="184"/>
      <c r="E77" s="184">
        <f>14169.44+5033.98+451</f>
        <v>19654.419999999998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f>1170.37</f>
        <v>1170.3699999999999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f>2790.13</f>
        <v>2790.13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>
        <v>2860.18</v>
      </c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31999.969999999998</v>
      </c>
      <c r="CF77" s="195">
        <f>AY59-CE77</f>
        <v>3.0000000002473826E-2</v>
      </c>
    </row>
    <row r="78" spans="1:84" ht="12.6" customHeight="1" x14ac:dyDescent="0.25">
      <c r="A78" s="171" t="s">
        <v>250</v>
      </c>
      <c r="B78" s="175"/>
      <c r="C78" s="184">
        <f>C76</f>
        <v>6510</v>
      </c>
      <c r="D78" s="184"/>
      <c r="E78" s="184">
        <f>E76</f>
        <v>19229</v>
      </c>
      <c r="F78" s="184"/>
      <c r="G78" s="184"/>
      <c r="H78" s="184"/>
      <c r="I78" s="184"/>
      <c r="J78" s="184">
        <f>J76</f>
        <v>481</v>
      </c>
      <c r="K78" s="184"/>
      <c r="L78" s="184"/>
      <c r="M78" s="184"/>
      <c r="N78" s="184"/>
      <c r="O78" s="184">
        <f>O76</f>
        <v>974</v>
      </c>
      <c r="P78" s="184">
        <f>P76</f>
        <v>6556</v>
      </c>
      <c r="Q78" s="184">
        <f>Q76</f>
        <v>7238</v>
      </c>
      <c r="R78" s="184">
        <f>R76</f>
        <v>311</v>
      </c>
      <c r="S78" s="184">
        <f>S76</f>
        <v>2967</v>
      </c>
      <c r="T78" s="184"/>
      <c r="U78" s="184">
        <f>U76</f>
        <v>4148</v>
      </c>
      <c r="V78" s="184"/>
      <c r="W78" s="184"/>
      <c r="X78" s="184"/>
      <c r="Y78" s="184">
        <f>Y76</f>
        <v>5322</v>
      </c>
      <c r="Z78" s="184"/>
      <c r="AA78" s="184">
        <f t="shared" ref="AA78:AC78" si="10">AA76</f>
        <v>689</v>
      </c>
      <c r="AB78" s="184">
        <f t="shared" si="10"/>
        <v>1815</v>
      </c>
      <c r="AC78" s="184">
        <f t="shared" si="10"/>
        <v>804</v>
      </c>
      <c r="AD78" s="184"/>
      <c r="AE78" s="184">
        <f>AE76</f>
        <v>3882</v>
      </c>
      <c r="AF78" s="184"/>
      <c r="AG78" s="184">
        <f>AG76</f>
        <v>9531</v>
      </c>
      <c r="AH78" s="184"/>
      <c r="AI78" s="184">
        <f t="shared" ref="AI78:AV78" si="11">AI76</f>
        <v>0</v>
      </c>
      <c r="AJ78" s="184">
        <f t="shared" si="11"/>
        <v>0</v>
      </c>
      <c r="AK78" s="184">
        <f t="shared" si="11"/>
        <v>0</v>
      </c>
      <c r="AL78" s="184">
        <f t="shared" si="11"/>
        <v>0</v>
      </c>
      <c r="AM78" s="184">
        <f t="shared" si="11"/>
        <v>0</v>
      </c>
      <c r="AN78" s="184">
        <f t="shared" si="11"/>
        <v>0</v>
      </c>
      <c r="AO78" s="184">
        <f t="shared" si="11"/>
        <v>0</v>
      </c>
      <c r="AP78" s="184">
        <f t="shared" si="11"/>
        <v>0</v>
      </c>
      <c r="AQ78" s="184">
        <f t="shared" si="11"/>
        <v>0</v>
      </c>
      <c r="AR78" s="184">
        <f t="shared" si="11"/>
        <v>0</v>
      </c>
      <c r="AS78" s="184">
        <f t="shared" si="11"/>
        <v>0</v>
      </c>
      <c r="AT78" s="184">
        <f t="shared" si="11"/>
        <v>0</v>
      </c>
      <c r="AU78" s="184">
        <f t="shared" si="11"/>
        <v>0</v>
      </c>
      <c r="AV78" s="184">
        <f t="shared" si="11"/>
        <v>1552</v>
      </c>
      <c r="AW78" s="184">
        <f>AW76</f>
        <v>0</v>
      </c>
      <c r="AX78" s="249" t="s">
        <v>221</v>
      </c>
      <c r="AY78" s="249" t="s">
        <v>221</v>
      </c>
      <c r="AZ78" s="249" t="s">
        <v>221</v>
      </c>
      <c r="BA78" s="184">
        <f t="shared" ref="BA78:BC78" si="12">BA76</f>
        <v>1459</v>
      </c>
      <c r="BB78" s="184">
        <f t="shared" si="12"/>
        <v>0</v>
      </c>
      <c r="BC78" s="184">
        <f t="shared" si="12"/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f t="shared" ref="BH78:BI78" si="13">BH76</f>
        <v>2963.2</v>
      </c>
      <c r="BI78" s="184">
        <f t="shared" si="13"/>
        <v>0</v>
      </c>
      <c r="BJ78" s="249" t="s">
        <v>221</v>
      </c>
      <c r="BK78" s="184">
        <f t="shared" ref="BK78:BM78" si="14">BK76</f>
        <v>2135</v>
      </c>
      <c r="BL78" s="184">
        <f t="shared" si="14"/>
        <v>2157.1999999999998</v>
      </c>
      <c r="BM78" s="184">
        <f t="shared" si="14"/>
        <v>535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f t="shared" ref="BS78:CB78" si="15">BS76</f>
        <v>0</v>
      </c>
      <c r="BT78" s="184">
        <f t="shared" si="15"/>
        <v>0</v>
      </c>
      <c r="BU78" s="184">
        <f t="shared" si="15"/>
        <v>0</v>
      </c>
      <c r="BV78" s="184">
        <f t="shared" si="15"/>
        <v>3496.6</v>
      </c>
      <c r="BW78" s="184">
        <f t="shared" si="15"/>
        <v>1021</v>
      </c>
      <c r="BX78" s="184">
        <f t="shared" si="15"/>
        <v>0</v>
      </c>
      <c r="BY78" s="184">
        <f t="shared" si="15"/>
        <v>2046</v>
      </c>
      <c r="BZ78" s="184">
        <f t="shared" si="15"/>
        <v>0</v>
      </c>
      <c r="CA78" s="184">
        <f t="shared" si="15"/>
        <v>1046</v>
      </c>
      <c r="CB78" s="184">
        <f t="shared" si="15"/>
        <v>0</v>
      </c>
      <c r="CC78" s="249" t="s">
        <v>221</v>
      </c>
      <c r="CD78" s="249" t="s">
        <v>221</v>
      </c>
      <c r="CE78" s="195">
        <f t="shared" si="8"/>
        <v>88868</v>
      </c>
      <c r="CF78" s="195"/>
    </row>
    <row r="79" spans="1:84" ht="12.6" customHeight="1" x14ac:dyDescent="0.25">
      <c r="A79" s="171" t="s">
        <v>251</v>
      </c>
      <c r="B79" s="175"/>
      <c r="C79" s="225">
        <v>38615</v>
      </c>
      <c r="D79" s="225"/>
      <c r="E79" s="184">
        <v>62785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23828</v>
      </c>
      <c r="P79" s="184">
        <v>58871</v>
      </c>
      <c r="Q79" s="184">
        <v>4573</v>
      </c>
      <c r="R79" s="184"/>
      <c r="S79" s="184"/>
      <c r="T79" s="184"/>
      <c r="U79" s="184">
        <v>927</v>
      </c>
      <c r="V79" s="184"/>
      <c r="W79" s="184"/>
      <c r="X79" s="184"/>
      <c r="Y79" s="184">
        <v>25074</v>
      </c>
      <c r="Z79" s="184"/>
      <c r="AA79" s="184"/>
      <c r="AB79" s="184"/>
      <c r="AC79" s="184"/>
      <c r="AD79" s="184"/>
      <c r="AE79" s="184">
        <v>10235</v>
      </c>
      <c r="AF79" s="184"/>
      <c r="AG79" s="184">
        <f>72281+615</f>
        <v>72896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297804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19.96</v>
      </c>
      <c r="D80" s="187"/>
      <c r="E80" s="187">
        <f>32.85+15.16+3.25</f>
        <v>51.260000000000005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f>15.04+2.34+1.96+1.55</f>
        <v>20.89</v>
      </c>
      <c r="Q80" s="187">
        <v>11.93</v>
      </c>
      <c r="R80" s="187">
        <v>5.33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27.81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137.17999999999998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1638</v>
      </c>
      <c r="D111" s="174">
        <v>5087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255</v>
      </c>
      <c r="D114" s="174">
        <v>545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68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926</v>
      </c>
      <c r="C138" s="189">
        <v>445</v>
      </c>
      <c r="D138" s="174">
        <f>25+242</f>
        <v>267</v>
      </c>
      <c r="E138" s="175">
        <f>SUM(B138:D138)</f>
        <v>1638</v>
      </c>
    </row>
    <row r="139" spans="1:6" ht="12.6" customHeight="1" x14ac:dyDescent="0.25">
      <c r="A139" s="173" t="s">
        <v>215</v>
      </c>
      <c r="B139" s="174">
        <v>2945</v>
      </c>
      <c r="C139" s="189">
        <v>1323</v>
      </c>
      <c r="D139" s="174">
        <f>80+739</f>
        <v>819</v>
      </c>
      <c r="E139" s="175">
        <f>SUM(B139:D139)</f>
        <v>5087</v>
      </c>
    </row>
    <row r="140" spans="1:6" ht="12.6" customHeight="1" x14ac:dyDescent="0.25">
      <c r="A140" s="173" t="s">
        <v>298</v>
      </c>
      <c r="B140" s="174">
        <v>61422</v>
      </c>
      <c r="C140" s="174">
        <v>56078</v>
      </c>
      <c r="D140" s="174">
        <v>56822</v>
      </c>
      <c r="E140" s="175">
        <f>SUM(B140:D140)</f>
        <v>174322</v>
      </c>
    </row>
    <row r="141" spans="1:6" ht="12.6" customHeight="1" x14ac:dyDescent="0.25">
      <c r="A141" s="173" t="s">
        <v>245</v>
      </c>
      <c r="B141" s="174">
        <f>25442083+2955573</f>
        <v>28397656</v>
      </c>
      <c r="C141" s="189">
        <f>3497968+11490786</f>
        <v>14988754</v>
      </c>
      <c r="D141" s="174">
        <f>54727092-B141-C141-1</f>
        <v>11340681</v>
      </c>
      <c r="E141" s="175">
        <f>SUM(B141:D141)</f>
        <v>54727091</v>
      </c>
      <c r="F141" s="199"/>
    </row>
    <row r="142" spans="1:6" ht="12.6" customHeight="1" x14ac:dyDescent="0.25">
      <c r="A142" s="173" t="s">
        <v>246</v>
      </c>
      <c r="B142" s="174">
        <f>(82625828+9340508)-B141</f>
        <v>63568680</v>
      </c>
      <c r="C142" s="189">
        <f>(9764195+57385667)-C141</f>
        <v>52161108</v>
      </c>
      <c r="D142" s="174">
        <f>218892830-(SUM(B141:D141,B142:C142))-3</f>
        <v>48435948</v>
      </c>
      <c r="E142" s="175">
        <f>SUM(B142:D142)</f>
        <v>164165736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6788541</v>
      </c>
      <c r="C157" s="174">
        <v>3808132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3167279.86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143844.70000000001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527916.93999999994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7467108.68+518932.05+106550.48</f>
        <v>8092591.21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23007.4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2117965.39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35867.839999999997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14108473.340000002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129725.86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455521.94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585247.80000000005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365971.07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179599+1</f>
        <v>179600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545571.07000000007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654919.94999999995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654919.94999999995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940307.08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940307.08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f>2015497+1</f>
        <v>2015498</v>
      </c>
      <c r="C195" s="189">
        <v>0</v>
      </c>
      <c r="D195" s="174">
        <v>0</v>
      </c>
      <c r="E195" s="175">
        <f t="shared" ref="E195:E203" si="16">SUM(B195:C195)-D195</f>
        <v>2015498</v>
      </c>
    </row>
    <row r="196" spans="1:8" ht="12.6" customHeight="1" x14ac:dyDescent="0.25">
      <c r="A196" s="173" t="s">
        <v>333</v>
      </c>
      <c r="B196" s="174">
        <v>2684920</v>
      </c>
      <c r="C196" s="189">
        <v>44536</v>
      </c>
      <c r="D196" s="174">
        <v>0</v>
      </c>
      <c r="E196" s="175">
        <f t="shared" si="16"/>
        <v>2729456</v>
      </c>
    </row>
    <row r="197" spans="1:8" ht="12.6" customHeight="1" x14ac:dyDescent="0.25">
      <c r="A197" s="173" t="s">
        <v>334</v>
      </c>
      <c r="B197" s="174">
        <v>36087582</v>
      </c>
      <c r="C197" s="189">
        <f>99223+1</f>
        <v>99224</v>
      </c>
      <c r="D197" s="174">
        <v>0</v>
      </c>
      <c r="E197" s="175">
        <f t="shared" si="16"/>
        <v>36186806</v>
      </c>
    </row>
    <row r="198" spans="1:8" ht="12.6" customHeight="1" x14ac:dyDescent="0.25">
      <c r="A198" s="173" t="s">
        <v>335</v>
      </c>
      <c r="B198" s="174">
        <v>21193643</v>
      </c>
      <c r="C198" s="189">
        <f>99093+1</f>
        <v>99094</v>
      </c>
      <c r="D198" s="174">
        <v>0</v>
      </c>
      <c r="E198" s="175">
        <f t="shared" si="16"/>
        <v>21292737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6"/>
        <v>0</v>
      </c>
    </row>
    <row r="200" spans="1:8" ht="12.6" customHeight="1" x14ac:dyDescent="0.25">
      <c r="A200" s="173" t="s">
        <v>337</v>
      </c>
      <c r="B200" s="174">
        <v>33635081</v>
      </c>
      <c r="C200" s="189">
        <v>1531745</v>
      </c>
      <c r="D200" s="174">
        <v>855916</v>
      </c>
      <c r="E200" s="175">
        <f t="shared" si="16"/>
        <v>34310910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6"/>
        <v>0</v>
      </c>
    </row>
    <row r="202" spans="1:8" ht="12.6" customHeight="1" x14ac:dyDescent="0.25">
      <c r="A202" s="173" t="s">
        <v>339</v>
      </c>
      <c r="B202" s="174">
        <v>42847</v>
      </c>
      <c r="C202" s="189">
        <v>0</v>
      </c>
      <c r="D202" s="174">
        <v>0</v>
      </c>
      <c r="E202" s="175">
        <f t="shared" si="16"/>
        <v>42847</v>
      </c>
    </row>
    <row r="203" spans="1:8" ht="12.6" customHeight="1" x14ac:dyDescent="0.25">
      <c r="A203" s="173" t="s">
        <v>340</v>
      </c>
      <c r="B203" s="174">
        <v>403900</v>
      </c>
      <c r="C203" s="189">
        <v>2584438</v>
      </c>
      <c r="D203" s="174">
        <v>1196831</v>
      </c>
      <c r="E203" s="175">
        <f t="shared" si="16"/>
        <v>1791507</v>
      </c>
    </row>
    <row r="204" spans="1:8" ht="12.6" customHeight="1" x14ac:dyDescent="0.25">
      <c r="A204" s="173" t="s">
        <v>203</v>
      </c>
      <c r="B204" s="175">
        <f>SUM(B195:B203)</f>
        <v>96063471</v>
      </c>
      <c r="C204" s="191">
        <f>SUM(C195:C203)</f>
        <v>4359037</v>
      </c>
      <c r="D204" s="175">
        <f>SUM(D195:D203)</f>
        <v>2052747</v>
      </c>
      <c r="E204" s="175">
        <f>SUM(E195:E203)</f>
        <v>98369761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1364063</v>
      </c>
      <c r="C209" s="189">
        <v>185430</v>
      </c>
      <c r="D209" s="174">
        <v>0</v>
      </c>
      <c r="E209" s="175">
        <f t="shared" ref="E209:E216" si="17">SUM(B209:C209)-D209</f>
        <v>1549493</v>
      </c>
      <c r="H209" s="259"/>
    </row>
    <row r="210" spans="1:8" ht="12.6" customHeight="1" x14ac:dyDescent="0.25">
      <c r="A210" s="173" t="s">
        <v>334</v>
      </c>
      <c r="B210" s="174">
        <v>14782357</v>
      </c>
      <c r="C210" s="189">
        <v>1557614</v>
      </c>
      <c r="D210" s="174">
        <v>0</v>
      </c>
      <c r="E210" s="175">
        <f t="shared" si="17"/>
        <v>16339971</v>
      </c>
      <c r="H210" s="259"/>
    </row>
    <row r="211" spans="1:8" ht="12.6" customHeight="1" x14ac:dyDescent="0.25">
      <c r="A211" s="173" t="s">
        <v>335</v>
      </c>
      <c r="B211" s="174">
        <v>7160033</v>
      </c>
      <c r="C211" s="189">
        <v>1301694</v>
      </c>
      <c r="D211" s="174">
        <v>0</v>
      </c>
      <c r="E211" s="175">
        <f t="shared" si="17"/>
        <v>8461727</v>
      </c>
      <c r="H211" s="259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7"/>
        <v>0</v>
      </c>
      <c r="H212" s="259"/>
    </row>
    <row r="213" spans="1:8" ht="12.6" customHeight="1" x14ac:dyDescent="0.25">
      <c r="A213" s="173" t="s">
        <v>337</v>
      </c>
      <c r="B213" s="174">
        <v>23561329</v>
      </c>
      <c r="C213" s="189">
        <f>3606959+1</f>
        <v>3606960</v>
      </c>
      <c r="D213" s="174">
        <v>828463</v>
      </c>
      <c r="E213" s="175">
        <f t="shared" si="17"/>
        <v>26339826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7"/>
        <v>0</v>
      </c>
      <c r="H214" s="259"/>
    </row>
    <row r="215" spans="1:8" ht="12.6" customHeight="1" x14ac:dyDescent="0.25">
      <c r="A215" s="173" t="s">
        <v>339</v>
      </c>
      <c r="B215" s="174">
        <v>32493</v>
      </c>
      <c r="C215" s="189">
        <v>4285</v>
      </c>
      <c r="D215" s="174">
        <v>0</v>
      </c>
      <c r="E215" s="175">
        <f t="shared" si="17"/>
        <v>36778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7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46900275</v>
      </c>
      <c r="C217" s="191">
        <f>SUM(C208:C216)</f>
        <v>6655983</v>
      </c>
      <c r="D217" s="175">
        <f>SUM(D208:D216)</f>
        <v>828463</v>
      </c>
      <c r="E217" s="175">
        <f>SUM(E208:E216)</f>
        <v>52727795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3388438</v>
      </c>
      <c r="D221" s="172">
        <f>C221</f>
        <v>3388438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54539572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45085539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1768658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16747169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118140938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1479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296285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2608767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2905052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2331531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2331531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126765959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58440656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27967764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16792784+3</f>
        <v>16792787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f>99155-143</f>
        <v>99012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1507817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1254271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72476733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39257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39257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2015498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2729456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36229653-C273</f>
        <v>36186806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21292737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34310910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42847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1791507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98369761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52727795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45641966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174364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174364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118332320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2701384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10327176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2770387+160917</f>
        <v>2931304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95009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120692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945000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17120565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1336715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1336715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23215000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23215000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945000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22270000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77605040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118332320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118332320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54727091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138513323+25652413</f>
        <v>164165736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218892827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3388438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118140938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2905052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2331531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126765959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92126868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5325790+1437214</f>
        <v>6763004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2136980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8899984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101026852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46207589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14108473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4537390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11238916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947357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9113960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6655982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585248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545571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654919.94999999995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940307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2253398-C387+174384</f>
        <v>1772862.05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97308575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3718277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750123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4468400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4468400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Public Hospital District No 1 of Mason County, WA, DBA Mason General Hospital and Family of Clinics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1638</v>
      </c>
      <c r="C414" s="194">
        <f>E138</f>
        <v>1638</v>
      </c>
      <c r="D414" s="179"/>
    </row>
    <row r="415" spans="1:5" ht="12.6" customHeight="1" x14ac:dyDescent="0.25">
      <c r="A415" s="179" t="s">
        <v>464</v>
      </c>
      <c r="B415" s="179">
        <f>D111</f>
        <v>5087</v>
      </c>
      <c r="C415" s="179">
        <f>E139</f>
        <v>5087</v>
      </c>
      <c r="D415" s="194">
        <f>SUM(C59:H59)+N59</f>
        <v>5087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255</v>
      </c>
    </row>
    <row r="424" spans="1:7" ht="12.6" customHeight="1" x14ac:dyDescent="0.25">
      <c r="A424" s="179" t="s">
        <v>1244</v>
      </c>
      <c r="B424" s="179">
        <f>D114</f>
        <v>545</v>
      </c>
      <c r="D424" s="179">
        <f>J59</f>
        <v>545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8">C378</f>
        <v>46207589</v>
      </c>
      <c r="C427" s="179">
        <f t="shared" ref="C427:C434" si="19">CE61</f>
        <v>46207589</v>
      </c>
      <c r="D427" s="179"/>
    </row>
    <row r="428" spans="1:7" ht="12.6" customHeight="1" x14ac:dyDescent="0.25">
      <c r="A428" s="179" t="s">
        <v>3</v>
      </c>
      <c r="B428" s="179">
        <f t="shared" si="18"/>
        <v>14108473</v>
      </c>
      <c r="C428" s="179">
        <f t="shared" si="19"/>
        <v>14108473</v>
      </c>
      <c r="D428" s="179">
        <f>D173</f>
        <v>14108473.340000002</v>
      </c>
    </row>
    <row r="429" spans="1:7" ht="12.6" customHeight="1" x14ac:dyDescent="0.25">
      <c r="A429" s="179" t="s">
        <v>236</v>
      </c>
      <c r="B429" s="179">
        <f t="shared" si="18"/>
        <v>4537390</v>
      </c>
      <c r="C429" s="179">
        <f t="shared" si="19"/>
        <v>4537390</v>
      </c>
      <c r="D429" s="179"/>
    </row>
    <row r="430" spans="1:7" ht="12.6" customHeight="1" x14ac:dyDescent="0.25">
      <c r="A430" s="179" t="s">
        <v>237</v>
      </c>
      <c r="B430" s="179">
        <f t="shared" si="18"/>
        <v>11238916</v>
      </c>
      <c r="C430" s="179">
        <f t="shared" si="19"/>
        <v>11238916</v>
      </c>
      <c r="D430" s="179"/>
    </row>
    <row r="431" spans="1:7" ht="12.6" customHeight="1" x14ac:dyDescent="0.25">
      <c r="A431" s="179" t="s">
        <v>444</v>
      </c>
      <c r="B431" s="179">
        <f t="shared" si="18"/>
        <v>947357</v>
      </c>
      <c r="C431" s="179">
        <f t="shared" si="19"/>
        <v>947357</v>
      </c>
      <c r="D431" s="179"/>
    </row>
    <row r="432" spans="1:7" ht="12.6" customHeight="1" x14ac:dyDescent="0.25">
      <c r="A432" s="179" t="s">
        <v>445</v>
      </c>
      <c r="B432" s="179">
        <f t="shared" si="18"/>
        <v>9113960</v>
      </c>
      <c r="C432" s="179">
        <f t="shared" si="19"/>
        <v>9113960</v>
      </c>
      <c r="D432" s="179"/>
    </row>
    <row r="433" spans="1:7" ht="12.6" customHeight="1" x14ac:dyDescent="0.25">
      <c r="A433" s="179" t="s">
        <v>6</v>
      </c>
      <c r="B433" s="179">
        <f t="shared" si="18"/>
        <v>6655982</v>
      </c>
      <c r="C433" s="179">
        <f t="shared" si="19"/>
        <v>6656000</v>
      </c>
      <c r="D433" s="179">
        <f>C217</f>
        <v>6655983</v>
      </c>
    </row>
    <row r="434" spans="1:7" ht="12.6" customHeight="1" x14ac:dyDescent="0.25">
      <c r="A434" s="179" t="s">
        <v>474</v>
      </c>
      <c r="B434" s="179">
        <f t="shared" si="18"/>
        <v>585248</v>
      </c>
      <c r="C434" s="179">
        <f t="shared" si="19"/>
        <v>585248</v>
      </c>
      <c r="D434" s="179">
        <f>D177</f>
        <v>585247.80000000005</v>
      </c>
    </row>
    <row r="435" spans="1:7" ht="12.6" customHeight="1" x14ac:dyDescent="0.25">
      <c r="A435" s="179" t="s">
        <v>447</v>
      </c>
      <c r="B435" s="179">
        <f t="shared" si="18"/>
        <v>545571</v>
      </c>
      <c r="C435" s="179"/>
      <c r="D435" s="179">
        <f>D181</f>
        <v>545571.07000000007</v>
      </c>
    </row>
    <row r="436" spans="1:7" ht="12.6" customHeight="1" x14ac:dyDescent="0.25">
      <c r="A436" s="179" t="s">
        <v>475</v>
      </c>
      <c r="B436" s="179">
        <f t="shared" si="18"/>
        <v>654919.94999999995</v>
      </c>
      <c r="C436" s="179"/>
      <c r="D436" s="179">
        <f>D186</f>
        <v>654919.94999999995</v>
      </c>
    </row>
    <row r="437" spans="1:7" ht="12.6" customHeight="1" x14ac:dyDescent="0.25">
      <c r="A437" s="194" t="s">
        <v>449</v>
      </c>
      <c r="B437" s="194">
        <f t="shared" si="18"/>
        <v>940307</v>
      </c>
      <c r="C437" s="194"/>
      <c r="D437" s="194">
        <f>D190</f>
        <v>940307.08</v>
      </c>
    </row>
    <row r="438" spans="1:7" ht="12.6" customHeight="1" x14ac:dyDescent="0.25">
      <c r="A438" s="194" t="s">
        <v>476</v>
      </c>
      <c r="B438" s="194">
        <f>C386+C387+C388</f>
        <v>2140797.9500000002</v>
      </c>
      <c r="C438" s="194">
        <f>CD69</f>
        <v>2140798</v>
      </c>
      <c r="D438" s="194">
        <f>D181+D186+D190</f>
        <v>2140798.1</v>
      </c>
    </row>
    <row r="439" spans="1:7" ht="12.6" customHeight="1" x14ac:dyDescent="0.25">
      <c r="A439" s="179" t="s">
        <v>451</v>
      </c>
      <c r="B439" s="194">
        <f>C389</f>
        <v>1772862.05</v>
      </c>
      <c r="C439" s="194">
        <f>SUM(C69:CC69)</f>
        <v>1772862</v>
      </c>
      <c r="D439" s="179"/>
    </row>
    <row r="440" spans="1:7" ht="12.6" customHeight="1" x14ac:dyDescent="0.25">
      <c r="A440" s="179" t="s">
        <v>477</v>
      </c>
      <c r="B440" s="194">
        <f>B438+B439</f>
        <v>3913660</v>
      </c>
      <c r="C440" s="194">
        <f>CE69</f>
        <v>3913660</v>
      </c>
      <c r="D440" s="179"/>
    </row>
    <row r="441" spans="1:7" ht="12.6" customHeight="1" x14ac:dyDescent="0.25">
      <c r="A441" s="179" t="s">
        <v>478</v>
      </c>
      <c r="B441" s="179">
        <f>D390</f>
        <v>97308575</v>
      </c>
      <c r="C441" s="179">
        <f>SUM(C427:C437)+C440</f>
        <v>97308593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3388438</v>
      </c>
      <c r="C444" s="179">
        <f>C363</f>
        <v>3388438</v>
      </c>
      <c r="D444" s="179"/>
    </row>
    <row r="445" spans="1:7" ht="12.6" customHeight="1" x14ac:dyDescent="0.25">
      <c r="A445" s="179" t="s">
        <v>343</v>
      </c>
      <c r="B445" s="179">
        <f>D229</f>
        <v>118140938</v>
      </c>
      <c r="C445" s="179">
        <f>C364</f>
        <v>118140938</v>
      </c>
      <c r="D445" s="179"/>
    </row>
    <row r="446" spans="1:7" ht="12.6" customHeight="1" x14ac:dyDescent="0.25">
      <c r="A446" s="179" t="s">
        <v>351</v>
      </c>
      <c r="B446" s="179">
        <f>D236</f>
        <v>2905052</v>
      </c>
      <c r="C446" s="179">
        <f>C365</f>
        <v>2905052</v>
      </c>
      <c r="D446" s="179"/>
    </row>
    <row r="447" spans="1:7" ht="12.6" customHeight="1" x14ac:dyDescent="0.25">
      <c r="A447" s="179" t="s">
        <v>356</v>
      </c>
      <c r="B447" s="179">
        <f>D240</f>
        <v>2331531</v>
      </c>
      <c r="C447" s="179">
        <f>C366</f>
        <v>2331531</v>
      </c>
      <c r="D447" s="179"/>
    </row>
    <row r="448" spans="1:7" ht="12.6" customHeight="1" x14ac:dyDescent="0.25">
      <c r="A448" s="179" t="s">
        <v>358</v>
      </c>
      <c r="B448" s="179">
        <f>D242</f>
        <v>126765959</v>
      </c>
      <c r="C448" s="179">
        <f>D367</f>
        <v>126765959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1479</v>
      </c>
    </row>
    <row r="454" spans="1:7" ht="12.6" customHeight="1" x14ac:dyDescent="0.25">
      <c r="A454" s="179" t="s">
        <v>168</v>
      </c>
      <c r="B454" s="179">
        <f>C233</f>
        <v>296285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2608767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6763004</v>
      </c>
      <c r="C458" s="194">
        <f>CE70</f>
        <v>6763003.8499999996</v>
      </c>
      <c r="D458" s="194"/>
    </row>
    <row r="459" spans="1:7" ht="12.6" customHeight="1" x14ac:dyDescent="0.25">
      <c r="A459" s="179" t="s">
        <v>244</v>
      </c>
      <c r="B459" s="194">
        <f>C371</f>
        <v>2136980</v>
      </c>
      <c r="C459" s="194">
        <f>CE72</f>
        <v>2136980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54727091</v>
      </c>
      <c r="C463" s="194">
        <f>CE73</f>
        <v>54727091</v>
      </c>
      <c r="D463" s="194">
        <f>E141+E147+E153</f>
        <v>54727091</v>
      </c>
    </row>
    <row r="464" spans="1:7" ht="12.6" customHeight="1" x14ac:dyDescent="0.25">
      <c r="A464" s="179" t="s">
        <v>246</v>
      </c>
      <c r="B464" s="194">
        <f>C360</f>
        <v>164165736</v>
      </c>
      <c r="C464" s="194">
        <f>CE74</f>
        <v>164165736</v>
      </c>
      <c r="D464" s="194">
        <f>E142+E148+E154</f>
        <v>164165736</v>
      </c>
    </row>
    <row r="465" spans="1:7" ht="12.6" customHeight="1" x14ac:dyDescent="0.25">
      <c r="A465" s="179" t="s">
        <v>247</v>
      </c>
      <c r="B465" s="194">
        <f>D361</f>
        <v>218892827</v>
      </c>
      <c r="C465" s="194">
        <f>CE75</f>
        <v>218892827</v>
      </c>
      <c r="D465" s="194">
        <f>D463+D464</f>
        <v>218892827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20">C267</f>
        <v>2015498</v>
      </c>
      <c r="C468" s="179">
        <f>E195</f>
        <v>2015498</v>
      </c>
      <c r="D468" s="179"/>
    </row>
    <row r="469" spans="1:7" ht="12.6" customHeight="1" x14ac:dyDescent="0.25">
      <c r="A469" s="179" t="s">
        <v>333</v>
      </c>
      <c r="B469" s="179">
        <f t="shared" si="20"/>
        <v>2729456</v>
      </c>
      <c r="C469" s="179">
        <f>E196</f>
        <v>2729456</v>
      </c>
      <c r="D469" s="179"/>
    </row>
    <row r="470" spans="1:7" ht="12.6" customHeight="1" x14ac:dyDescent="0.25">
      <c r="A470" s="179" t="s">
        <v>334</v>
      </c>
      <c r="B470" s="179">
        <f t="shared" si="20"/>
        <v>36186806</v>
      </c>
      <c r="C470" s="179">
        <f>E197</f>
        <v>36186806</v>
      </c>
      <c r="D470" s="179"/>
    </row>
    <row r="471" spans="1:7" ht="12.6" customHeight="1" x14ac:dyDescent="0.25">
      <c r="A471" s="179" t="s">
        <v>494</v>
      </c>
      <c r="B471" s="179">
        <f t="shared" si="20"/>
        <v>21292737</v>
      </c>
      <c r="C471" s="179">
        <f>E198</f>
        <v>21292737</v>
      </c>
      <c r="D471" s="179"/>
    </row>
    <row r="472" spans="1:7" ht="12.6" customHeight="1" x14ac:dyDescent="0.25">
      <c r="A472" s="179" t="s">
        <v>377</v>
      </c>
      <c r="B472" s="179">
        <f t="shared" si="20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20"/>
        <v>34310910</v>
      </c>
      <c r="C473" s="179">
        <f>SUM(E200:E201)</f>
        <v>34310910</v>
      </c>
      <c r="D473" s="179"/>
    </row>
    <row r="474" spans="1:7" ht="12.6" customHeight="1" x14ac:dyDescent="0.25">
      <c r="A474" s="179" t="s">
        <v>339</v>
      </c>
      <c r="B474" s="179">
        <f t="shared" si="20"/>
        <v>42847</v>
      </c>
      <c r="C474" s="179">
        <f>E202</f>
        <v>42847</v>
      </c>
      <c r="D474" s="179"/>
    </row>
    <row r="475" spans="1:7" ht="12.6" customHeight="1" x14ac:dyDescent="0.25">
      <c r="A475" s="179" t="s">
        <v>340</v>
      </c>
      <c r="B475" s="179">
        <f t="shared" si="20"/>
        <v>1791507</v>
      </c>
      <c r="C475" s="179">
        <f>E203</f>
        <v>1791507</v>
      </c>
      <c r="D475" s="179"/>
    </row>
    <row r="476" spans="1:7" ht="12.6" customHeight="1" x14ac:dyDescent="0.25">
      <c r="A476" s="179" t="s">
        <v>203</v>
      </c>
      <c r="B476" s="179">
        <f>D275</f>
        <v>98369761</v>
      </c>
      <c r="C476" s="179">
        <f>E204</f>
        <v>98369761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52727795</v>
      </c>
      <c r="C478" s="179">
        <f>E217</f>
        <v>52727795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118332320</v>
      </c>
    </row>
    <row r="482" spans="1:12" ht="12.6" customHeight="1" x14ac:dyDescent="0.25">
      <c r="A482" s="180" t="s">
        <v>499</v>
      </c>
      <c r="C482" s="180">
        <f>D339</f>
        <v>118332320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152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3057165</v>
      </c>
      <c r="C496" s="240">
        <f>C71</f>
        <v>3156495</v>
      </c>
      <c r="D496" s="240">
        <v>1115</v>
      </c>
      <c r="E496" s="180">
        <f>C59</f>
        <v>1272</v>
      </c>
      <c r="F496" s="263">
        <f t="shared" ref="F496:G511" si="21">IF(B496=0,"",IF(D496=0,"",B496/D496))</f>
        <v>2741.8520179372199</v>
      </c>
      <c r="G496" s="264">
        <f t="shared" si="21"/>
        <v>2481.5212264150941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21"/>
        <v/>
      </c>
      <c r="G497" s="263" t="str">
        <f t="shared" si="21"/>
        <v/>
      </c>
      <c r="H497" s="265" t="str">
        <f t="shared" ref="H497:H550" si="22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8099260</v>
      </c>
      <c r="C498" s="240">
        <f>E71</f>
        <v>7727646</v>
      </c>
      <c r="D498" s="240">
        <v>3251</v>
      </c>
      <c r="E498" s="180">
        <f>E59</f>
        <v>3815</v>
      </c>
      <c r="F498" s="263">
        <f t="shared" si="21"/>
        <v>2491.3134420178408</v>
      </c>
      <c r="G498" s="263">
        <f t="shared" si="21"/>
        <v>2025.5952817824377</v>
      </c>
      <c r="H498" s="265" t="str">
        <f t="shared" si="22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21"/>
        <v/>
      </c>
      <c r="G499" s="263" t="str">
        <f t="shared" si="21"/>
        <v/>
      </c>
      <c r="H499" s="265" t="str">
        <f t="shared" si="22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21"/>
        <v/>
      </c>
      <c r="G500" s="263" t="str">
        <f t="shared" si="21"/>
        <v/>
      </c>
      <c r="H500" s="265" t="str">
        <f t="shared" si="22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21"/>
        <v/>
      </c>
      <c r="G501" s="263" t="str">
        <f t="shared" si="21"/>
        <v/>
      </c>
      <c r="H501" s="265" t="str">
        <f t="shared" si="22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21"/>
        <v/>
      </c>
      <c r="G502" s="263" t="str">
        <f t="shared" si="21"/>
        <v/>
      </c>
      <c r="H502" s="265" t="str">
        <f t="shared" si="22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51258</v>
      </c>
      <c r="C503" s="240">
        <f>J71</f>
        <v>47568</v>
      </c>
      <c r="D503" s="240">
        <v>604</v>
      </c>
      <c r="E503" s="180">
        <f>J59</f>
        <v>545</v>
      </c>
      <c r="F503" s="263">
        <f t="shared" si="21"/>
        <v>84.86423841059603</v>
      </c>
      <c r="G503" s="263">
        <f t="shared" si="21"/>
        <v>87.280733944954122</v>
      </c>
      <c r="H503" s="265" t="str">
        <f t="shared" si="22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21"/>
        <v/>
      </c>
      <c r="G504" s="263" t="str">
        <f t="shared" si="21"/>
        <v/>
      </c>
      <c r="H504" s="265" t="str">
        <f t="shared" si="22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21"/>
        <v/>
      </c>
      <c r="G505" s="263" t="str">
        <f t="shared" si="21"/>
        <v/>
      </c>
      <c r="H505" s="265" t="str">
        <f t="shared" si="22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21"/>
        <v/>
      </c>
      <c r="G506" s="263" t="str">
        <f t="shared" si="21"/>
        <v/>
      </c>
      <c r="H506" s="265" t="str">
        <f t="shared" si="22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21"/>
        <v/>
      </c>
      <c r="G507" s="263" t="str">
        <f t="shared" si="21"/>
        <v/>
      </c>
      <c r="H507" s="265" t="str">
        <f t="shared" si="22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139645</v>
      </c>
      <c r="C508" s="240">
        <f>O71</f>
        <v>124922</v>
      </c>
      <c r="D508" s="240">
        <v>737</v>
      </c>
      <c r="E508" s="180">
        <f>O59</f>
        <v>658</v>
      </c>
      <c r="F508" s="263">
        <f t="shared" si="21"/>
        <v>189.47761194029852</v>
      </c>
      <c r="G508" s="263">
        <f t="shared" si="21"/>
        <v>189.85106382978722</v>
      </c>
      <c r="H508" s="265" t="str">
        <f t="shared" si="22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3385067</v>
      </c>
      <c r="C509" s="240">
        <f>P71</f>
        <v>3538608</v>
      </c>
      <c r="D509" s="240">
        <v>122660</v>
      </c>
      <c r="E509" s="180">
        <f>P59</f>
        <v>121810</v>
      </c>
      <c r="F509" s="263">
        <f t="shared" si="21"/>
        <v>27.597154736670472</v>
      </c>
      <c r="G509" s="263">
        <f t="shared" si="21"/>
        <v>29.050225761431737</v>
      </c>
      <c r="H509" s="265" t="str">
        <f t="shared" si="22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1740282</v>
      </c>
      <c r="C510" s="240">
        <f>Q71</f>
        <v>1841985</v>
      </c>
      <c r="D510" s="240">
        <v>111706</v>
      </c>
      <c r="E510" s="180">
        <f>Q59</f>
        <v>123269</v>
      </c>
      <c r="F510" s="263">
        <f t="shared" si="21"/>
        <v>15.579127352156554</v>
      </c>
      <c r="G510" s="263">
        <f t="shared" si="21"/>
        <v>14.942808005256795</v>
      </c>
      <c r="H510" s="265" t="str">
        <f t="shared" si="22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-75103</v>
      </c>
      <c r="C511" s="240">
        <f>R71</f>
        <v>-154055</v>
      </c>
      <c r="D511" s="240">
        <v>122660</v>
      </c>
      <c r="E511" s="180">
        <f>R59</f>
        <v>121810</v>
      </c>
      <c r="F511" s="263">
        <f t="shared" si="21"/>
        <v>-0.61228599380401105</v>
      </c>
      <c r="G511" s="263">
        <f t="shared" si="21"/>
        <v>-1.2647155405960102</v>
      </c>
      <c r="H511" s="265">
        <f t="shared" si="22"/>
        <v>1.0655634023874763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2434731</v>
      </c>
      <c r="C512" s="240">
        <f>S71</f>
        <v>2886004</v>
      </c>
      <c r="D512" s="181" t="s">
        <v>529</v>
      </c>
      <c r="E512" s="181" t="s">
        <v>529</v>
      </c>
      <c r="F512" s="263" t="str">
        <f t="shared" ref="F512:G527" si="23">IF(B512=0,"",IF(D512=0,"",B512/D512))</f>
        <v/>
      </c>
      <c r="G512" s="263" t="str">
        <f t="shared" si="23"/>
        <v/>
      </c>
      <c r="H512" s="265" t="str">
        <f t="shared" si="22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23"/>
        <v/>
      </c>
      <c r="G513" s="263" t="str">
        <f t="shared" si="23"/>
        <v/>
      </c>
      <c r="H513" s="265" t="str">
        <f t="shared" si="22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3950904</v>
      </c>
      <c r="C514" s="240">
        <f>U71</f>
        <v>4362009</v>
      </c>
      <c r="D514" s="240">
        <v>145679</v>
      </c>
      <c r="E514" s="180">
        <f>U59</f>
        <v>169949</v>
      </c>
      <c r="F514" s="263">
        <f t="shared" si="23"/>
        <v>27.120614501746992</v>
      </c>
      <c r="G514" s="263">
        <f t="shared" si="23"/>
        <v>25.66657644352129</v>
      </c>
      <c r="H514" s="265" t="str">
        <f t="shared" si="22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23"/>
        <v/>
      </c>
      <c r="G515" s="263" t="str">
        <f t="shared" si="23"/>
        <v/>
      </c>
      <c r="H515" s="265" t="str">
        <f t="shared" si="22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511081</v>
      </c>
      <c r="C516" s="240">
        <f>W71</f>
        <v>526079</v>
      </c>
      <c r="D516" s="240">
        <v>1601</v>
      </c>
      <c r="E516" s="180">
        <f>W59</f>
        <v>1737</v>
      </c>
      <c r="F516" s="263">
        <f t="shared" si="23"/>
        <v>319.22610868207369</v>
      </c>
      <c r="G516" s="263">
        <f t="shared" si="23"/>
        <v>302.8664363845711</v>
      </c>
      <c r="H516" s="265" t="str">
        <f t="shared" si="22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856226</v>
      </c>
      <c r="C517" s="240">
        <f>X71</f>
        <v>845505</v>
      </c>
      <c r="D517" s="240">
        <v>22501</v>
      </c>
      <c r="E517" s="180">
        <f>X59</f>
        <v>25218</v>
      </c>
      <c r="F517" s="263">
        <f t="shared" si="23"/>
        <v>38.052797653437622</v>
      </c>
      <c r="G517" s="263">
        <f t="shared" si="23"/>
        <v>33.527837259100643</v>
      </c>
      <c r="H517" s="265" t="str">
        <f t="shared" si="22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3064895</v>
      </c>
      <c r="C518" s="240">
        <f>Y71</f>
        <v>3187440</v>
      </c>
      <c r="D518" s="240">
        <v>35309</v>
      </c>
      <c r="E518" s="180">
        <f>Y59</f>
        <v>35256</v>
      </c>
      <c r="F518" s="263">
        <f t="shared" si="23"/>
        <v>86.802090118666626</v>
      </c>
      <c r="G518" s="263">
        <f t="shared" si="23"/>
        <v>90.408441116405712</v>
      </c>
      <c r="H518" s="265" t="str">
        <f t="shared" si="22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23"/>
        <v/>
      </c>
      <c r="G519" s="263" t="str">
        <f t="shared" si="23"/>
        <v/>
      </c>
      <c r="H519" s="265" t="str">
        <f t="shared" si="22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252424</v>
      </c>
      <c r="C520" s="240">
        <f>AA71</f>
        <v>232230</v>
      </c>
      <c r="D520" s="240">
        <v>1824</v>
      </c>
      <c r="E520" s="180">
        <f>AA59</f>
        <v>0</v>
      </c>
      <c r="F520" s="263">
        <f t="shared" si="23"/>
        <v>138.39035087719299</v>
      </c>
      <c r="G520" s="263" t="str">
        <f t="shared" si="23"/>
        <v/>
      </c>
      <c r="H520" s="265" t="str">
        <f t="shared" si="22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2302713</v>
      </c>
      <c r="C521" s="240">
        <f>AB71</f>
        <v>2333334</v>
      </c>
      <c r="D521" s="181" t="s">
        <v>529</v>
      </c>
      <c r="E521" s="181" t="s">
        <v>529</v>
      </c>
      <c r="F521" s="263" t="str">
        <f t="shared" si="23"/>
        <v/>
      </c>
      <c r="G521" s="263" t="str">
        <f t="shared" si="23"/>
        <v/>
      </c>
      <c r="H521" s="265" t="str">
        <f t="shared" si="22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1188333</v>
      </c>
      <c r="C522" s="240">
        <f>AC71</f>
        <v>1204791</v>
      </c>
      <c r="D522" s="240">
        <v>7191</v>
      </c>
      <c r="E522" s="180">
        <f>AC59</f>
        <v>6073</v>
      </c>
      <c r="F522" s="263">
        <f t="shared" si="23"/>
        <v>165.25281602002502</v>
      </c>
      <c r="G522" s="263">
        <f t="shared" si="23"/>
        <v>198.38481804709369</v>
      </c>
      <c r="H522" s="265" t="str">
        <f t="shared" si="22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23"/>
        <v/>
      </c>
      <c r="G523" s="263" t="str">
        <f t="shared" si="23"/>
        <v/>
      </c>
      <c r="H523" s="265" t="str">
        <f t="shared" si="22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1768208</v>
      </c>
      <c r="C524" s="240">
        <f>AE71</f>
        <v>2062824</v>
      </c>
      <c r="D524" s="240">
        <v>18632</v>
      </c>
      <c r="E524" s="180">
        <f>AE59</f>
        <v>21053</v>
      </c>
      <c r="F524" s="263">
        <f t="shared" si="23"/>
        <v>94.901674538428509</v>
      </c>
      <c r="G524" s="263">
        <f t="shared" si="23"/>
        <v>97.982425307557122</v>
      </c>
      <c r="H524" s="265" t="str">
        <f t="shared" si="22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23"/>
        <v/>
      </c>
      <c r="G525" s="263" t="str">
        <f t="shared" si="23"/>
        <v/>
      </c>
      <c r="H525" s="265" t="str">
        <f t="shared" si="22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6582187</v>
      </c>
      <c r="C526" s="240">
        <f>AG71</f>
        <v>6660820</v>
      </c>
      <c r="D526" s="240">
        <v>20525</v>
      </c>
      <c r="E526" s="180">
        <f>AG59</f>
        <v>20750</v>
      </c>
      <c r="F526" s="263">
        <f t="shared" si="23"/>
        <v>320.69120584652865</v>
      </c>
      <c r="G526" s="263">
        <f t="shared" si="23"/>
        <v>321.00337349397591</v>
      </c>
      <c r="H526" s="265" t="str">
        <f t="shared" si="22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23"/>
        <v/>
      </c>
      <c r="G527" s="263" t="str">
        <f t="shared" si="23"/>
        <v/>
      </c>
      <c r="H527" s="265" t="str">
        <f t="shared" si="22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24">IF(B528=0,"",IF(D528=0,"",B528/D528))</f>
        <v/>
      </c>
      <c r="G528" s="263" t="str">
        <f t="shared" si="24"/>
        <v/>
      </c>
      <c r="H528" s="265" t="str">
        <f t="shared" si="22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24"/>
        <v/>
      </c>
      <c r="G529" s="263" t="str">
        <f t="shared" si="24"/>
        <v/>
      </c>
      <c r="H529" s="265" t="str">
        <f t="shared" si="22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24"/>
        <v/>
      </c>
      <c r="G530" s="263" t="str">
        <f t="shared" si="24"/>
        <v/>
      </c>
      <c r="H530" s="265" t="str">
        <f t="shared" si="22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24"/>
        <v/>
      </c>
      <c r="G531" s="263" t="str">
        <f t="shared" si="24"/>
        <v/>
      </c>
      <c r="H531" s="265" t="str">
        <f t="shared" si="22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24"/>
        <v/>
      </c>
      <c r="G532" s="263" t="str">
        <f t="shared" si="24"/>
        <v/>
      </c>
      <c r="H532" s="265" t="str">
        <f t="shared" si="22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24"/>
        <v/>
      </c>
      <c r="G533" s="263" t="str">
        <f t="shared" si="24"/>
        <v/>
      </c>
      <c r="H533" s="265" t="str">
        <f t="shared" si="22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24"/>
        <v/>
      </c>
      <c r="G534" s="263" t="str">
        <f t="shared" si="24"/>
        <v/>
      </c>
      <c r="H534" s="265" t="str">
        <f t="shared" si="22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18933743</v>
      </c>
      <c r="C535" s="240">
        <f>AP71</f>
        <v>19552442</v>
      </c>
      <c r="D535" s="240">
        <v>83607</v>
      </c>
      <c r="E535" s="180">
        <f>AP59</f>
        <v>0</v>
      </c>
      <c r="F535" s="263">
        <f t="shared" si="24"/>
        <v>226.46121736218259</v>
      </c>
      <c r="G535" s="263" t="str">
        <f t="shared" si="24"/>
        <v/>
      </c>
      <c r="H535" s="265" t="str">
        <f t="shared" si="22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24"/>
        <v/>
      </c>
      <c r="G536" s="263" t="str">
        <f t="shared" si="24"/>
        <v/>
      </c>
      <c r="H536" s="265" t="str">
        <f t="shared" si="22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24"/>
        <v/>
      </c>
      <c r="G537" s="263" t="str">
        <f t="shared" si="24"/>
        <v/>
      </c>
      <c r="H537" s="265" t="str">
        <f t="shared" si="22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24"/>
        <v/>
      </c>
      <c r="G538" s="263" t="str">
        <f t="shared" si="24"/>
        <v/>
      </c>
      <c r="H538" s="265" t="str">
        <f t="shared" si="22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24"/>
        <v/>
      </c>
      <c r="G539" s="263" t="str">
        <f t="shared" si="24"/>
        <v/>
      </c>
      <c r="H539" s="265" t="str">
        <f t="shared" si="22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24"/>
        <v/>
      </c>
      <c r="G540" s="263" t="str">
        <f t="shared" si="24"/>
        <v/>
      </c>
      <c r="H540" s="265" t="str">
        <f t="shared" si="22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339900</v>
      </c>
      <c r="C541" s="240">
        <f>AV71</f>
        <v>400385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1551020</v>
      </c>
      <c r="C544" s="240">
        <f>AY71</f>
        <v>1527196</v>
      </c>
      <c r="D544" s="240">
        <v>30151</v>
      </c>
      <c r="E544" s="180">
        <f>AY59</f>
        <v>32000</v>
      </c>
      <c r="F544" s="263">
        <f t="shared" ref="F544:G550" si="25">IF(B544=0,"",IF(D544=0,"",B544/D544))</f>
        <v>51.441743225763659</v>
      </c>
      <c r="G544" s="263">
        <f t="shared" si="25"/>
        <v>47.724874999999997</v>
      </c>
      <c r="H544" s="265" t="str">
        <f t="shared" si="22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25"/>
        <v/>
      </c>
      <c r="G545" s="263" t="str">
        <f t="shared" si="25"/>
        <v/>
      </c>
      <c r="H545" s="265" t="str">
        <f t="shared" si="22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311319</v>
      </c>
      <c r="C546" s="240">
        <f>BA71</f>
        <v>338547</v>
      </c>
      <c r="D546" s="240">
        <v>0</v>
      </c>
      <c r="E546" s="180">
        <f>BA59</f>
        <v>0</v>
      </c>
      <c r="F546" s="263" t="str">
        <f t="shared" si="25"/>
        <v/>
      </c>
      <c r="G546" s="263" t="str">
        <f t="shared" si="25"/>
        <v/>
      </c>
      <c r="H546" s="265" t="str">
        <f t="shared" si="22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594083</v>
      </c>
      <c r="C549" s="240">
        <f>BD71</f>
        <v>591552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3285927</v>
      </c>
      <c r="C550" s="240">
        <f>BE71</f>
        <v>3378301</v>
      </c>
      <c r="D550" s="240">
        <v>137798</v>
      </c>
      <c r="E550" s="180">
        <f>BE59</f>
        <v>137649</v>
      </c>
      <c r="F550" s="263">
        <f t="shared" si="25"/>
        <v>23.845970188246564</v>
      </c>
      <c r="G550" s="263">
        <f t="shared" si="25"/>
        <v>24.542866275817477</v>
      </c>
      <c r="H550" s="265" t="str">
        <f t="shared" si="22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1701456</v>
      </c>
      <c r="C551" s="240">
        <f>BF71</f>
        <v>1943832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4318321</v>
      </c>
      <c r="C553" s="240">
        <f>BH71</f>
        <v>4475371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638398</v>
      </c>
      <c r="C555" s="240">
        <f>BJ71</f>
        <v>748453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2066074</v>
      </c>
      <c r="C556" s="240">
        <f>BK71</f>
        <v>1877492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1466099</v>
      </c>
      <c r="C557" s="240">
        <f>BL71</f>
        <v>1520833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252843</v>
      </c>
      <c r="C558" s="240">
        <f>BM71</f>
        <v>170718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3977025</v>
      </c>
      <c r="C559" s="240">
        <f>BN71</f>
        <v>4195003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266807</v>
      </c>
      <c r="C560" s="240">
        <f>BO71</f>
        <v>254218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535098</v>
      </c>
      <c r="C561" s="240">
        <f>BP71</f>
        <v>559728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726286</v>
      </c>
      <c r="C563" s="240">
        <f>BR71</f>
        <v>787958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2342100</v>
      </c>
      <c r="C567" s="240">
        <f>BV71</f>
        <v>2112525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308989</v>
      </c>
      <c r="C568" s="240">
        <f>BW71</f>
        <v>324611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3508682</v>
      </c>
      <c r="C570" s="240">
        <f>BY71</f>
        <v>3623199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365892</v>
      </c>
      <c r="C572" s="240">
        <f>CA71</f>
        <v>368365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984338</v>
      </c>
      <c r="C574" s="240">
        <f>CC71</f>
        <v>993888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110050</v>
      </c>
      <c r="C575" s="240">
        <f>CD71</f>
        <v>216767.14999999991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112908.4</v>
      </c>
      <c r="E612" s="180">
        <f>SUM(C624:D647)+SUM(C668:D713)</f>
        <v>83742338.200246036</v>
      </c>
      <c r="F612" s="180">
        <f>CE64-(AX64+BD64+BE64+BG64+BJ64+BN64+BP64+BQ64+CB64+CC64+CD64)</f>
        <v>11022932</v>
      </c>
      <c r="G612" s="180">
        <f>CE77-(AX77+AY77+BD77+BE77+BG77+BJ77+BN77+BP77+BQ77+CB77+CC77+CD77)</f>
        <v>31999.969999999998</v>
      </c>
      <c r="H612" s="197">
        <f>CE60-(AX60+AY60+AZ60+BD60+BE60+BG60+BJ60+BN60+BO60+BP60+BQ60+BR60+CB60+CC60+CD60)</f>
        <v>504.68999999999994</v>
      </c>
      <c r="I612" s="180">
        <f>CE78-(AX78+AY78+AZ78+BD78+BE78+BF78+BG78+BJ78+BN78+BO78+BP78+BQ78+BR78+CB78+CC78+CD78)</f>
        <v>88868</v>
      </c>
      <c r="J612" s="180">
        <f>CE79-(AX79+AY79+AZ79+BA79+BD79+BE79+BF79+BG79+BJ79+BN79+BO79+BP79+BQ79+BR79+CB79+CC79+CD79)</f>
        <v>297804</v>
      </c>
      <c r="K612" s="180">
        <f>CE75-(AW75+AX75+AY75+AZ75+BA75+BB75+BC75+BD75+BE75+BF75+BG75+BH75+BI75+BJ75+BK75+BL75+BM75+BN75+BO75+BP75+BQ75+BR75+BS75+BT75+BU75+BV75+BW75+BX75+CB75+CC75+CD75)</f>
        <v>218892827</v>
      </c>
      <c r="L612" s="197">
        <f>CE80-(AW80+AX80+AY80+AZ80+BA80+BB80+BC80+BD80+BE80+BF80+BG80+BH80+BI80+BJ80+BK80+BL80+BM80+BN80+BO80+BP80+BQ80+BR80+BS80+BT80+BU80+BV80+BW80+BX80+BY80+BZ80+CA80+CB80+CC80+CD80)</f>
        <v>137.17999999999998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3378301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216767.14999999991</v>
      </c>
      <c r="D615" s="266">
        <f>SUM(C614:C615)</f>
        <v>3595068.15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748453</v>
      </c>
      <c r="D617" s="180">
        <f>(D615/D612)*BJ76</f>
        <v>49422.937376049966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4195003</v>
      </c>
      <c r="D619" s="180">
        <f>(D615/D612)*BN76</f>
        <v>155006.27737023996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993888</v>
      </c>
      <c r="D620" s="180">
        <f>(D615/D612)*CC76</f>
        <v>101749.73500766994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559728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6803250.9497539597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591552</v>
      </c>
      <c r="D624" s="180">
        <f>(D615/D612)*BD76</f>
        <v>108194.26697836477</v>
      </c>
      <c r="E624" s="180">
        <f>(E623/E612)*SUM(C624:D624)</f>
        <v>56847.582211328343</v>
      </c>
      <c r="F624" s="180">
        <f>SUM(C624:E624)</f>
        <v>756593.84918969311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1527196</v>
      </c>
      <c r="D625" s="180">
        <f>(D615/D612)*AY76</f>
        <v>160253.6037969717</v>
      </c>
      <c r="E625" s="180">
        <f>(E623/E612)*SUM(C625:D625)</f>
        <v>137088.87722053076</v>
      </c>
      <c r="F625" s="180">
        <f>(F624/F612)*AY64</f>
        <v>47491.159685775419</v>
      </c>
      <c r="G625" s="180">
        <f>SUM(C625:F625)</f>
        <v>1872029.6407032779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787958</v>
      </c>
      <c r="D626" s="180">
        <f>(D615/D612)*BR76</f>
        <v>17518.683252353236</v>
      </c>
      <c r="E626" s="180">
        <f>(E623/E612)*SUM(C626:D626)</f>
        <v>65437.150766410552</v>
      </c>
      <c r="F626" s="180">
        <f>(F624/F612)*BR64</f>
        <v>1001.0876680026398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254218</v>
      </c>
      <c r="D627" s="180">
        <f>(D615/D612)*BO76</f>
        <v>12424.191575914636</v>
      </c>
      <c r="E627" s="180">
        <f>(E623/E612)*SUM(C627:D627)</f>
        <v>21662.08613312864</v>
      </c>
      <c r="F627" s="180">
        <f>(F624/F612)*BO64</f>
        <v>1772.4433905267169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1161991.6427863364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1943832</v>
      </c>
      <c r="D629" s="180">
        <f>(D615/D612)*BF76</f>
        <v>67724.898723655642</v>
      </c>
      <c r="E629" s="180">
        <f>(E623/E612)*SUM(C629:D629)</f>
        <v>163419.44440340015</v>
      </c>
      <c r="F629" s="180">
        <f>(F624/F612)*BF64</f>
        <v>14706.482333487391</v>
      </c>
      <c r="G629" s="180">
        <f>(G625/G612)*BF77</f>
        <v>0</v>
      </c>
      <c r="H629" s="180">
        <f>(H628/H612)*BF60</f>
        <v>56477.550570744097</v>
      </c>
      <c r="I629" s="180">
        <f>SUM(C629:H629)</f>
        <v>2246160.376031287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338547</v>
      </c>
      <c r="D630" s="180">
        <f>(D615/D612)*BA76</f>
        <v>46455.395974524487</v>
      </c>
      <c r="E630" s="180">
        <f>(E623/E612)*SUM(C630:D630)</f>
        <v>31277.702203728753</v>
      </c>
      <c r="F630" s="180">
        <f>(F624/F612)*BA64</f>
        <v>4191.4583156838671</v>
      </c>
      <c r="G630" s="180">
        <f>(G625/G612)*BA77</f>
        <v>0</v>
      </c>
      <c r="H630" s="180">
        <f>(H628/H612)*BA60</f>
        <v>3200.3177861122822</v>
      </c>
      <c r="I630" s="180">
        <f>(I629/I612)*BA78</f>
        <v>36876.580868587655</v>
      </c>
      <c r="J630" s="180">
        <f>SUM(C630:I630)</f>
        <v>460548.45514863712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1877492</v>
      </c>
      <c r="D635" s="180">
        <f>(D615/D612)*BK76</f>
        <v>67979.623307477566</v>
      </c>
      <c r="E635" s="180">
        <f>(E623/E612)*SUM(C635:D635)</f>
        <v>158050.65816692339</v>
      </c>
      <c r="F635" s="180">
        <f>(F624/F612)*BK64</f>
        <v>746.92053501575083</v>
      </c>
      <c r="G635" s="180">
        <f>(G625/G612)*BK77</f>
        <v>0</v>
      </c>
      <c r="H635" s="180">
        <f>(H628/H612)*BK60</f>
        <v>47797.551971000714</v>
      </c>
      <c r="I635" s="180">
        <f>(I629/I612)*BK78</f>
        <v>53962.645753553559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4475371</v>
      </c>
      <c r="D636" s="180">
        <f>(D615/D612)*BH76</f>
        <v>94349.985847642864</v>
      </c>
      <c r="E636" s="180">
        <f>(E623/E612)*SUM(C636:D636)</f>
        <v>371245.40949332173</v>
      </c>
      <c r="F636" s="180">
        <f>(F624/F612)*BH64</f>
        <v>33443.672395174101</v>
      </c>
      <c r="G636" s="180">
        <f>(G625/G612)*BH77</f>
        <v>0</v>
      </c>
      <c r="H636" s="180">
        <f>(H628/H612)*BH60</f>
        <v>11419.839006558936</v>
      </c>
      <c r="I636" s="180">
        <f>(I629/I612)*BH78</f>
        <v>74895.602762028051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1520833</v>
      </c>
      <c r="D637" s="180">
        <f>(D615/D612)*BL76</f>
        <v>68686.484027583414</v>
      </c>
      <c r="E637" s="180">
        <f>(E623/E612)*SUM(C637:D637)</f>
        <v>129133.006932583</v>
      </c>
      <c r="F637" s="180">
        <f>(F624/F612)*BL64</f>
        <v>1022.7086906574791</v>
      </c>
      <c r="G637" s="180">
        <f>(G625/G612)*BL77</f>
        <v>0</v>
      </c>
      <c r="H637" s="180">
        <f>(H628/H612)*BL60</f>
        <v>49938.77178473051</v>
      </c>
      <c r="I637" s="180">
        <f>(I629/I612)*BL78</f>
        <v>54523.75616841486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170718</v>
      </c>
      <c r="D638" s="180">
        <f>(D615/D612)*BM76</f>
        <v>17034.706543091568</v>
      </c>
      <c r="E638" s="180">
        <f>(E623/E612)*SUM(C638:D638)</f>
        <v>15253.082330395349</v>
      </c>
      <c r="F638" s="180">
        <f>(F624/F612)*BM64</f>
        <v>111.94885063505694</v>
      </c>
      <c r="G638" s="180">
        <f>(G625/G612)*BM77</f>
        <v>0</v>
      </c>
      <c r="H638" s="180">
        <f>(H628/H612)*BM60</f>
        <v>4558.7260550376395</v>
      </c>
      <c r="I638" s="180">
        <f>(I629/I612)*BM78</f>
        <v>13522.25549327923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2112525</v>
      </c>
      <c r="D642" s="180">
        <f>(D615/D612)*BV76</f>
        <v>111333.74747397006</v>
      </c>
      <c r="E642" s="180">
        <f>(E623/E612)*SUM(C642:D642)</f>
        <v>180666.90590478983</v>
      </c>
      <c r="F642" s="180">
        <f>(F624/F612)*BV64</f>
        <v>1058.6750902483864</v>
      </c>
      <c r="G642" s="180">
        <f>(G625/G612)*BV77</f>
        <v>0</v>
      </c>
      <c r="H642" s="180">
        <f>(H628/H612)*BV60</f>
        <v>49132.93637096123</v>
      </c>
      <c r="I642" s="180">
        <f>(I629/I612)*BV78</f>
        <v>88377.417865047013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324611</v>
      </c>
      <c r="D643" s="180">
        <f>(D615/D612)*BW76</f>
        <v>32509.225010273814</v>
      </c>
      <c r="E643" s="180">
        <f>(E623/E612)*SUM(C643:D643)</f>
        <v>29012.546845394329</v>
      </c>
      <c r="F643" s="180">
        <f>(F624/F612)*BW64</f>
        <v>348.75052733091621</v>
      </c>
      <c r="G643" s="180">
        <f>(G625/G612)*BW77</f>
        <v>167323.3361702121</v>
      </c>
      <c r="H643" s="180">
        <f>(H628/H612)*BW60</f>
        <v>4443.6067102134566</v>
      </c>
      <c r="I643" s="180">
        <f>(I629/I612)*BW78</f>
        <v>25806.024034837556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12439240.528118385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3623199</v>
      </c>
      <c r="D645" s="180">
        <f>(D615/D612)*BY76</f>
        <v>65145.812312458598</v>
      </c>
      <c r="E645" s="180">
        <f>(E623/E612)*SUM(C645:D645)</f>
        <v>299642.16293295595</v>
      </c>
      <c r="F645" s="180">
        <f>(F624/F612)*BY64</f>
        <v>1415.1817304681815</v>
      </c>
      <c r="G645" s="180">
        <f>(G625/G612)*BY77</f>
        <v>0</v>
      </c>
      <c r="H645" s="180">
        <f>(H628/H612)*BY60</f>
        <v>57237.338246583698</v>
      </c>
      <c r="I645" s="180">
        <f>(I629/I612)*BY78</f>
        <v>51713.149045325801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368365</v>
      </c>
      <c r="D647" s="180">
        <f>(D615/D612)*CA76</f>
        <v>33305.239334717349</v>
      </c>
      <c r="E647" s="180">
        <f>(E623/E612)*SUM(C647:D647)</f>
        <v>32631.802454660712</v>
      </c>
      <c r="F647" s="180">
        <f>(F624/F612)*CA64</f>
        <v>685.83256624493504</v>
      </c>
      <c r="G647" s="180">
        <f>(G625/G612)*CA77</f>
        <v>0</v>
      </c>
      <c r="H647" s="180">
        <f>(H628/H612)*CA60</f>
        <v>4904.0840895101883</v>
      </c>
      <c r="I647" s="180">
        <f>(I629/I612)*CA78</f>
        <v>26437.905132654345</v>
      </c>
      <c r="J647" s="180">
        <f>(J630/J612)*CA79</f>
        <v>0</v>
      </c>
      <c r="K647" s="180">
        <v>0</v>
      </c>
      <c r="L647" s="180">
        <f>SUM(C645:K647)</f>
        <v>4564682.5078455787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30008557.149999999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3156495</v>
      </c>
      <c r="D668" s="180">
        <f>(D615/D612)*C76</f>
        <v>207282.13008509553</v>
      </c>
      <c r="E668" s="180">
        <f>(E623/E612)*SUM(C668:D668)</f>
        <v>273274.19375716505</v>
      </c>
      <c r="F668" s="180">
        <f>(F624/F612)*C64</f>
        <v>10719.908946770811</v>
      </c>
      <c r="G668" s="180">
        <f>(G625/G612)*C77</f>
        <v>323210.31554193085</v>
      </c>
      <c r="H668" s="180">
        <f>(H628/H612)*C60</f>
        <v>45955.642453813787</v>
      </c>
      <c r="I668" s="180">
        <f>(I629/I612)*C78</f>
        <v>164541.83787149118</v>
      </c>
      <c r="J668" s="180">
        <f>(J630/J612)*C79</f>
        <v>59717.393304202174</v>
      </c>
      <c r="K668" s="180">
        <f>(K644/K612)*C75</f>
        <v>559989.65702051006</v>
      </c>
      <c r="L668" s="180">
        <f>(L647/L612)*C80</f>
        <v>664171.62018222606</v>
      </c>
      <c r="M668" s="180">
        <f t="shared" ref="M668:M713" si="26">ROUND(SUM(D668:L668),0)</f>
        <v>2308863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6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7727646</v>
      </c>
      <c r="D670" s="180">
        <f>(D615/D612)*E76</f>
        <v>612262.37778898655</v>
      </c>
      <c r="E670" s="180">
        <f>(E623/E612)*SUM(C670:D670)</f>
        <v>677536.48645897536</v>
      </c>
      <c r="F670" s="180">
        <f>(F624/F612)*E64</f>
        <v>11148.211109838105</v>
      </c>
      <c r="G670" s="180">
        <f>(G625/G612)*E77</f>
        <v>1149802.8532786537</v>
      </c>
      <c r="H670" s="180">
        <f>(H628/H612)*E60</f>
        <v>118020.35231375223</v>
      </c>
      <c r="I670" s="180">
        <f>(I629/I612)*E78</f>
        <v>486017.66519675945</v>
      </c>
      <c r="J670" s="180">
        <f>(J630/J612)*E79</f>
        <v>97095.857532159353</v>
      </c>
      <c r="K670" s="180">
        <f>(K644/K612)*E75</f>
        <v>1156178.2355490632</v>
      </c>
      <c r="L670" s="180">
        <f>(L647/L612)*E80</f>
        <v>1705683.2289850155</v>
      </c>
      <c r="M670" s="180">
        <f t="shared" si="26"/>
        <v>6013745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6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6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6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6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47568</v>
      </c>
      <c r="D675" s="180">
        <f>(D615/D612)*J76</f>
        <v>15315.315602293542</v>
      </c>
      <c r="E675" s="180">
        <f>(E623/E612)*SUM(C675:D675)</f>
        <v>5108.6581266932508</v>
      </c>
      <c r="F675" s="180">
        <f>(F624/F612)*J64</f>
        <v>1186.4793574969922</v>
      </c>
      <c r="G675" s="180">
        <f>(G625/G612)*J77</f>
        <v>0</v>
      </c>
      <c r="H675" s="180">
        <f>(H628/H612)*J60</f>
        <v>0</v>
      </c>
      <c r="I675" s="180">
        <f>(I629/I612)*J78</f>
        <v>12157.39232199497</v>
      </c>
      <c r="J675" s="180">
        <f>(J630/J612)*J79</f>
        <v>0</v>
      </c>
      <c r="K675" s="180">
        <f>(K644/K612)*J75</f>
        <v>54385.073368784404</v>
      </c>
      <c r="L675" s="180">
        <f>(L647/L612)*J80</f>
        <v>0</v>
      </c>
      <c r="M675" s="180">
        <f t="shared" si="26"/>
        <v>88153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6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6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6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6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124922</v>
      </c>
      <c r="D680" s="180">
        <f>(D615/D612)*O76</f>
        <v>31012.718080319977</v>
      </c>
      <c r="E680" s="180">
        <f>(E623/E612)*SUM(C680:D680)</f>
        <v>12668.180058966112</v>
      </c>
      <c r="F680" s="180">
        <f>(F624/F612)*O64</f>
        <v>4430.0445847258397</v>
      </c>
      <c r="G680" s="180">
        <f>(G625/G612)*O77</f>
        <v>0</v>
      </c>
      <c r="H680" s="180">
        <f>(H628/H612)*O60</f>
        <v>0</v>
      </c>
      <c r="I680" s="180">
        <f>(I629/I612)*O78</f>
        <v>24618.087570942</v>
      </c>
      <c r="J680" s="180">
        <f>(J630/J612)*O79</f>
        <v>36849.567464781285</v>
      </c>
      <c r="K680" s="180">
        <f>(K644/K612)*O75</f>
        <v>131636.93642523384</v>
      </c>
      <c r="L680" s="180">
        <f>(L647/L612)*O80</f>
        <v>0</v>
      </c>
      <c r="M680" s="180">
        <f t="shared" si="26"/>
        <v>241216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3538608</v>
      </c>
      <c r="D681" s="180">
        <f>(D615/D612)*P76</f>
        <v>208746.79644207165</v>
      </c>
      <c r="E681" s="180">
        <f>(E623/E612)*SUM(C681:D681)</f>
        <v>304436.15052874986</v>
      </c>
      <c r="F681" s="180">
        <f>(F624/F612)*P64</f>
        <v>48731.65728082593</v>
      </c>
      <c r="G681" s="180">
        <f>(G625/G612)*P77</f>
        <v>68467.793269490416</v>
      </c>
      <c r="H681" s="180">
        <f>(H628/H612)*P60</f>
        <v>48096.862267543584</v>
      </c>
      <c r="I681" s="180">
        <f>(I629/I612)*P78</f>
        <v>165704.49909147408</v>
      </c>
      <c r="J681" s="180">
        <f>(J630/J612)*P79</f>
        <v>91042.92790914634</v>
      </c>
      <c r="K681" s="180">
        <f>(K644/K612)*P75</f>
        <v>788580.89293159824</v>
      </c>
      <c r="L681" s="180">
        <f>(L647/L612)*P80</f>
        <v>695117.49226486485</v>
      </c>
      <c r="M681" s="180">
        <f t="shared" si="26"/>
        <v>2418925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1841985</v>
      </c>
      <c r="D682" s="180">
        <f>(D615/D612)*Q76</f>
        <v>230462.06721289115</v>
      </c>
      <c r="E682" s="180">
        <f>(E623/E612)*SUM(C682:D682)</f>
        <v>168366.17870182046</v>
      </c>
      <c r="F682" s="180">
        <f>(F624/F612)*Q64</f>
        <v>7771.4192001551519</v>
      </c>
      <c r="G682" s="180">
        <f>(G625/G612)*Q77</f>
        <v>0</v>
      </c>
      <c r="H682" s="180">
        <f>(H628/H612)*Q60</f>
        <v>27467.47567505002</v>
      </c>
      <c r="I682" s="180">
        <f>(I629/I612)*Q78</f>
        <v>182942.21543991601</v>
      </c>
      <c r="J682" s="180">
        <f>(J630/J612)*Q79</f>
        <v>7072.061105272991</v>
      </c>
      <c r="K682" s="180">
        <f>(K644/K612)*Q75</f>
        <v>279853.09949015727</v>
      </c>
      <c r="L682" s="180">
        <f>(L647/L612)*Q80</f>
        <v>396972.31607083947</v>
      </c>
      <c r="M682" s="180">
        <f t="shared" si="26"/>
        <v>1300907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-154055</v>
      </c>
      <c r="D683" s="180">
        <f>(D615/D612)*R76</f>
        <v>9902.4181960775295</v>
      </c>
      <c r="E683" s="180">
        <f>(E623/E612)*SUM(C683:D683)</f>
        <v>-11710.996016399024</v>
      </c>
      <c r="F683" s="180">
        <f>(F624/F612)*R64</f>
        <v>4954.234267313167</v>
      </c>
      <c r="G683" s="180">
        <f>(G625/G612)*R77</f>
        <v>0</v>
      </c>
      <c r="H683" s="180">
        <f>(H628/H612)*R60</f>
        <v>12271.72215825789</v>
      </c>
      <c r="I683" s="180">
        <f>(I629/I612)*R78</f>
        <v>7860.6008568408233</v>
      </c>
      <c r="J683" s="180">
        <f>(J630/J612)*R79</f>
        <v>0</v>
      </c>
      <c r="K683" s="180">
        <f>(K644/K612)*R75</f>
        <v>95591.961956262385</v>
      </c>
      <c r="L683" s="180">
        <f>(L647/L612)*R80</f>
        <v>177356.44967791907</v>
      </c>
      <c r="M683" s="180">
        <f t="shared" si="26"/>
        <v>296226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2886004</v>
      </c>
      <c r="D684" s="180">
        <f>(D615/D612)*S76</f>
        <v>94470.980024958291</v>
      </c>
      <c r="E684" s="180">
        <f>(E623/E612)*SUM(C684:D684)</f>
        <v>242134.62000650394</v>
      </c>
      <c r="F684" s="180">
        <f>(F624/F612)*S64</f>
        <v>188767.72638419663</v>
      </c>
      <c r="G684" s="180">
        <f>(G625/G612)*S77</f>
        <v>0</v>
      </c>
      <c r="H684" s="180">
        <f>(H628/H612)*S60</f>
        <v>0</v>
      </c>
      <c r="I684" s="180">
        <f>(I629/I612)*S78</f>
        <v>74991.64868889621</v>
      </c>
      <c r="J684" s="180">
        <f>(J630/J612)*S79</f>
        <v>0</v>
      </c>
      <c r="K684" s="180">
        <f>(K644/K612)*S75</f>
        <v>277492.91919236339</v>
      </c>
      <c r="L684" s="180">
        <f>(L647/L612)*S80</f>
        <v>0</v>
      </c>
      <c r="M684" s="180">
        <f t="shared" si="26"/>
        <v>877858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6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4362009</v>
      </c>
      <c r="D686" s="180">
        <f>(D615/D612)*U76</f>
        <v>132074.69671167069</v>
      </c>
      <c r="E686" s="180">
        <f>(E623/E612)*SUM(C686:D686)</f>
        <v>365100.61499378615</v>
      </c>
      <c r="F686" s="180">
        <f>(F624/F612)*U64</f>
        <v>86799.414359282164</v>
      </c>
      <c r="G686" s="180">
        <f>(G625/G612)*U77</f>
        <v>0</v>
      </c>
      <c r="H686" s="180">
        <f>(H628/H612)*U60</f>
        <v>55855.906108693511</v>
      </c>
      <c r="I686" s="180">
        <f>(I629/I612)*U78</f>
        <v>104841.71174976121</v>
      </c>
      <c r="J686" s="180">
        <f>(J630/J612)*U79</f>
        <v>1433.5885949241335</v>
      </c>
      <c r="K686" s="180">
        <f>(K644/K612)*U75</f>
        <v>1478882.0870446481</v>
      </c>
      <c r="L686" s="180">
        <f>(L647/L612)*U80</f>
        <v>0</v>
      </c>
      <c r="M686" s="180">
        <f t="shared" si="26"/>
        <v>2224988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6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526079</v>
      </c>
      <c r="D688" s="180">
        <f>(D615/D612)*W76</f>
        <v>67979.623307477566</v>
      </c>
      <c r="E688" s="180">
        <f>(E623/E612)*SUM(C688:D688)</f>
        <v>48261.488514471079</v>
      </c>
      <c r="F688" s="180">
        <f>(F624/F612)*W64</f>
        <v>1282.5041533513422</v>
      </c>
      <c r="G688" s="180">
        <f>(G625/G612)*W77</f>
        <v>0</v>
      </c>
      <c r="H688" s="180">
        <f>(H628/H612)*W60</f>
        <v>4190.3441516002549</v>
      </c>
      <c r="I688" s="180">
        <f>(I629/I612)*W78</f>
        <v>0</v>
      </c>
      <c r="J688" s="180">
        <f>(J630/J612)*W79</f>
        <v>0</v>
      </c>
      <c r="K688" s="180">
        <f>(K644/K612)*W75</f>
        <v>384954.20354384941</v>
      </c>
      <c r="L688" s="180">
        <f>(L647/L612)*W80</f>
        <v>0</v>
      </c>
      <c r="M688" s="180">
        <f t="shared" si="26"/>
        <v>506668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845505</v>
      </c>
      <c r="D689" s="180">
        <f>(D615/D612)*X76</f>
        <v>25185.893225393327</v>
      </c>
      <c r="E689" s="180">
        <f>(E623/E612)*SUM(C689:D689)</f>
        <v>70735.171402944878</v>
      </c>
      <c r="F689" s="180">
        <f>(F624/F612)*X64</f>
        <v>10534.036790106351</v>
      </c>
      <c r="G689" s="180">
        <f>(G625/G612)*X77</f>
        <v>0</v>
      </c>
      <c r="H689" s="180">
        <f>(H628/H612)*X60</f>
        <v>8173.4734825169799</v>
      </c>
      <c r="I689" s="180">
        <f>(I629/I612)*X78</f>
        <v>0</v>
      </c>
      <c r="J689" s="180">
        <f>(J630/J612)*X79</f>
        <v>0</v>
      </c>
      <c r="K689" s="180">
        <f>(K644/K612)*X75</f>
        <v>1140402.2726219161</v>
      </c>
      <c r="L689" s="180">
        <f>(L647/L612)*X80</f>
        <v>0</v>
      </c>
      <c r="M689" s="180">
        <f t="shared" si="26"/>
        <v>1255031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3187440</v>
      </c>
      <c r="D690" s="180">
        <f>(D615/D612)*Y76</f>
        <v>169455.52938753893</v>
      </c>
      <c r="E690" s="180">
        <f>(E623/E612)*SUM(C690:D690)</f>
        <v>272715.13059404277</v>
      </c>
      <c r="F690" s="180">
        <f>(F624/F612)*Y64</f>
        <v>10319.199326901122</v>
      </c>
      <c r="G690" s="180">
        <f>(G625/G612)*Y77</f>
        <v>0</v>
      </c>
      <c r="H690" s="180">
        <f>(H628/H612)*Y60</f>
        <v>50445.296901956914</v>
      </c>
      <c r="I690" s="180">
        <f>(I629/I612)*Y78</f>
        <v>134514.84810323748</v>
      </c>
      <c r="J690" s="180">
        <f>(J630/J612)*Y79</f>
        <v>38776.48374231685</v>
      </c>
      <c r="K690" s="180">
        <f>(K644/K612)*Y75</f>
        <v>1053703.5509508064</v>
      </c>
      <c r="L690" s="180">
        <f>(L647/L612)*Y80</f>
        <v>0</v>
      </c>
      <c r="M690" s="180">
        <f t="shared" si="26"/>
        <v>1729930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6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232230</v>
      </c>
      <c r="D692" s="180">
        <f>(D615/D612)*AA76</f>
        <v>21938.154781663721</v>
      </c>
      <c r="E692" s="180">
        <f>(E623/E612)*SUM(C692:D692)</f>
        <v>20648.691899200934</v>
      </c>
      <c r="F692" s="180">
        <f>(F624/F612)*AA64</f>
        <v>2123.8021682096455</v>
      </c>
      <c r="G692" s="180">
        <f>(G625/G612)*AA77</f>
        <v>0</v>
      </c>
      <c r="H692" s="180">
        <f>(H628/H612)*AA60</f>
        <v>2302.3868964836565</v>
      </c>
      <c r="I692" s="180">
        <f>(I629/I612)*AA78</f>
        <v>17414.643055830635</v>
      </c>
      <c r="J692" s="180">
        <f>(J630/J612)*AA79</f>
        <v>0</v>
      </c>
      <c r="K692" s="180">
        <f>(K644/K612)*AA75</f>
        <v>39200.860355942648</v>
      </c>
      <c r="L692" s="180">
        <f>(L647/L612)*AA80</f>
        <v>0</v>
      </c>
      <c r="M692" s="180">
        <f t="shared" si="26"/>
        <v>103629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2333334</v>
      </c>
      <c r="D693" s="180">
        <f>(D615/D612)*AB76</f>
        <v>57790.639954600367</v>
      </c>
      <c r="E693" s="180">
        <f>(E623/E612)*SUM(C693:D693)</f>
        <v>194255.63373752846</v>
      </c>
      <c r="F693" s="180">
        <f>(F624/F612)*AB64</f>
        <v>167521.60539837551</v>
      </c>
      <c r="G693" s="180">
        <f>(G625/G612)*AB77</f>
        <v>0</v>
      </c>
      <c r="H693" s="180">
        <f>(H628/H612)*AB60</f>
        <v>34466.731840360335</v>
      </c>
      <c r="I693" s="180">
        <f>(I629/I612)*AB78</f>
        <v>45874.567701498694</v>
      </c>
      <c r="J693" s="180">
        <f>(J630/J612)*AB79</f>
        <v>0</v>
      </c>
      <c r="K693" s="180">
        <f>(K644/K612)*AB75</f>
        <v>474341.40084118303</v>
      </c>
      <c r="L693" s="180">
        <f>(L647/L612)*AB80</f>
        <v>0</v>
      </c>
      <c r="M693" s="180">
        <f t="shared" si="26"/>
        <v>974251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1204791</v>
      </c>
      <c r="D694" s="180">
        <f>(D615/D612)*AC76</f>
        <v>25599.820674103965</v>
      </c>
      <c r="E694" s="180">
        <f>(E623/E612)*SUM(C694:D694)</f>
        <v>99957.293995106753</v>
      </c>
      <c r="F694" s="180">
        <f>(F624/F612)*AC64</f>
        <v>6870.1314272005638</v>
      </c>
      <c r="G694" s="180">
        <f>(G625/G612)*AC77</f>
        <v>0</v>
      </c>
      <c r="H694" s="180">
        <f>(H628/H612)*AC60</f>
        <v>22563.391585539837</v>
      </c>
      <c r="I694" s="180">
        <f>(I629/I612)*AC78</f>
        <v>20321.296105787849</v>
      </c>
      <c r="J694" s="180">
        <f>(J630/J612)*AC79</f>
        <v>0</v>
      </c>
      <c r="K694" s="180">
        <f>(K644/K612)*AC75</f>
        <v>369691.17010162695</v>
      </c>
      <c r="L694" s="180">
        <f>(L647/L612)*AC80</f>
        <v>0</v>
      </c>
      <c r="M694" s="180">
        <f t="shared" si="26"/>
        <v>545003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6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2062824</v>
      </c>
      <c r="D696" s="180">
        <f>(D615/D612)*AE76</f>
        <v>123605.10429959153</v>
      </c>
      <c r="E696" s="180">
        <f>(E623/E612)*SUM(C696:D696)</f>
        <v>177626.11123691066</v>
      </c>
      <c r="F696" s="180">
        <f>(F624/F612)*AE64</f>
        <v>2230.3286036392033</v>
      </c>
      <c r="G696" s="180">
        <f>(G625/G612)*AE77</f>
        <v>0</v>
      </c>
      <c r="H696" s="180">
        <f>(H628/H612)*AE60</f>
        <v>43123.706571138886</v>
      </c>
      <c r="I696" s="180">
        <f>(I629/I612)*AE78</f>
        <v>98118.496868990595</v>
      </c>
      <c r="J696" s="180">
        <f>(J630/J612)*AE79</f>
        <v>15828.240851185012</v>
      </c>
      <c r="K696" s="180">
        <f>(K644/K612)*AE75</f>
        <v>368579.33037499839</v>
      </c>
      <c r="L696" s="180">
        <f>(L647/L612)*AE80</f>
        <v>0</v>
      </c>
      <c r="M696" s="180">
        <f t="shared" si="26"/>
        <v>829111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6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6660820</v>
      </c>
      <c r="D698" s="180">
        <f>(D615/D612)*AG76</f>
        <v>303472.50105085183</v>
      </c>
      <c r="E698" s="180">
        <f>(E623/E612)*SUM(C698:D698)</f>
        <v>565781.06833897065</v>
      </c>
      <c r="F698" s="180">
        <f>(F624/F612)*AG64</f>
        <v>18065.771510544997</v>
      </c>
      <c r="G698" s="180">
        <f>(G625/G612)*AG77</f>
        <v>163225.34244299098</v>
      </c>
      <c r="H698" s="180">
        <f>(H628/H612)*AG60</f>
        <v>64029.379591210483</v>
      </c>
      <c r="I698" s="180">
        <f>(I629/I612)*AG78</f>
        <v>240898.34973167165</v>
      </c>
      <c r="J698" s="180">
        <f>(J630/J612)*AG79</f>
        <v>112732.334644649</v>
      </c>
      <c r="K698" s="180">
        <f>(K644/K612)*AG75</f>
        <v>2314488.9416190432</v>
      </c>
      <c r="L698" s="180">
        <f>(L647/L612)*AG80</f>
        <v>925381.40066471463</v>
      </c>
      <c r="M698" s="180">
        <f t="shared" si="26"/>
        <v>4708075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6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6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6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6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6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6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6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6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19552442</v>
      </c>
      <c r="D707" s="180">
        <f>(D615/D612)*AP76</f>
        <v>0</v>
      </c>
      <c r="E707" s="180">
        <f>(E623/E612)*SUM(C707:D707)</f>
        <v>1588445.8502750334</v>
      </c>
      <c r="F707" s="180">
        <f>(F624/F612)*AP64</f>
        <v>64765.807681654776</v>
      </c>
      <c r="G707" s="180">
        <f>(G625/G612)*AP77</f>
        <v>0</v>
      </c>
      <c r="H707" s="180">
        <f>(H628/H612)*AP60</f>
        <v>329241.32619716291</v>
      </c>
      <c r="I707" s="180">
        <f>(I629/I612)*AP78</f>
        <v>0</v>
      </c>
      <c r="J707" s="180">
        <f>(J630/J612)*AP79</f>
        <v>0</v>
      </c>
      <c r="K707" s="180">
        <f>(K644/K612)*AP75</f>
        <v>1457775.2035411876</v>
      </c>
      <c r="L707" s="180">
        <f>(L647/L612)*AP80</f>
        <v>0</v>
      </c>
      <c r="M707" s="180">
        <f t="shared" si="26"/>
        <v>3440228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6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6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6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6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6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400385</v>
      </c>
      <c r="D713" s="180">
        <f>(D615/D612)*AV76</f>
        <v>49416.569261454417</v>
      </c>
      <c r="E713" s="180">
        <f>(E623/E612)*SUM(C713:D713)</f>
        <v>36542.005143938295</v>
      </c>
      <c r="F713" s="180">
        <f>(F624/F612)*AV64</f>
        <v>375.24485985398917</v>
      </c>
      <c r="G713" s="180">
        <f>(G625/G612)*AV77</f>
        <v>0</v>
      </c>
      <c r="H713" s="180">
        <f>(H628/H612)*AV60</f>
        <v>6676.9219998026038</v>
      </c>
      <c r="I713" s="180">
        <f>(I629/I612)*AV78</f>
        <v>39227.178552466103</v>
      </c>
      <c r="J713" s="180">
        <f>(J630/J612)*AV79</f>
        <v>0</v>
      </c>
      <c r="K713" s="180">
        <f>(K644/K612)*AV75</f>
        <v>13512.731189211487</v>
      </c>
      <c r="L713" s="180">
        <f>(L647/L612)*AV80</f>
        <v>0</v>
      </c>
      <c r="M713" s="180">
        <f t="shared" si="26"/>
        <v>145751</v>
      </c>
      <c r="N713" s="199" t="s">
        <v>741</v>
      </c>
    </row>
    <row r="715" spans="1:83" ht="12.6" customHeight="1" x14ac:dyDescent="0.25">
      <c r="C715" s="180">
        <f>SUM(C614:C647)+SUM(C668:C713)</f>
        <v>90545589.150000006</v>
      </c>
      <c r="D715" s="180">
        <f>SUM(D616:D647)+SUM(D668:D713)</f>
        <v>3595068.1499999994</v>
      </c>
      <c r="E715" s="180">
        <f>SUM(E624:E647)+SUM(E668:E713)</f>
        <v>6803250.9497539615</v>
      </c>
      <c r="F715" s="180">
        <f>SUM(F625:F648)+SUM(F668:F713)</f>
        <v>756593.84918969311</v>
      </c>
      <c r="G715" s="180">
        <f>SUM(G626:G647)+SUM(G668:G713)</f>
        <v>1872029.6407032781</v>
      </c>
      <c r="H715" s="180">
        <f>SUM(H629:H647)+SUM(H668:H713)</f>
        <v>1161991.6427863366</v>
      </c>
      <c r="I715" s="180">
        <f>SUM(I630:I647)+SUM(I668:I713)</f>
        <v>2246160.376031287</v>
      </c>
      <c r="J715" s="180">
        <f>SUM(J631:J647)+SUM(J668:J713)</f>
        <v>460548.45514863706</v>
      </c>
      <c r="K715" s="180">
        <f>SUM(K668:K713)</f>
        <v>12439240.528118387</v>
      </c>
      <c r="L715" s="180">
        <f>SUM(L668:L713)</f>
        <v>4564682.5078455796</v>
      </c>
      <c r="M715" s="180">
        <f>SUM(M668:M713)</f>
        <v>30008558</v>
      </c>
      <c r="N715" s="198" t="s">
        <v>742</v>
      </c>
    </row>
    <row r="716" spans="1:83" ht="12.6" customHeight="1" x14ac:dyDescent="0.25">
      <c r="C716" s="180">
        <f>CE71</f>
        <v>90545589.150000006</v>
      </c>
      <c r="D716" s="180">
        <f>D615</f>
        <v>3595068.15</v>
      </c>
      <c r="E716" s="180">
        <f>E623</f>
        <v>6803250.9497539597</v>
      </c>
      <c r="F716" s="180">
        <f>F624</f>
        <v>756593.84918969311</v>
      </c>
      <c r="G716" s="180">
        <f>G625</f>
        <v>1872029.6407032779</v>
      </c>
      <c r="H716" s="180">
        <f>H628</f>
        <v>1161991.6427863364</v>
      </c>
      <c r="I716" s="180">
        <f>I629</f>
        <v>2246160.376031287</v>
      </c>
      <c r="J716" s="180">
        <f>J630</f>
        <v>460548.45514863712</v>
      </c>
      <c r="K716" s="180">
        <f>K644</f>
        <v>12439240.528118385</v>
      </c>
      <c r="L716" s="180">
        <f>L647</f>
        <v>4564682.5078455787</v>
      </c>
      <c r="M716" s="180">
        <f>C648</f>
        <v>30008557.149999999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152*2017*A</v>
      </c>
      <c r="B722" s="275">
        <f>ROUND(C165,0)</f>
        <v>3167280</v>
      </c>
      <c r="C722" s="275">
        <f>ROUND(C166,0)</f>
        <v>143845</v>
      </c>
      <c r="D722" s="275">
        <f>ROUND(C167,0)</f>
        <v>527917</v>
      </c>
      <c r="E722" s="275">
        <f>ROUND(C168,0)</f>
        <v>8092591</v>
      </c>
      <c r="F722" s="275">
        <f>ROUND(C169,0)</f>
        <v>23007</v>
      </c>
      <c r="G722" s="275">
        <f>ROUND(C170,0)</f>
        <v>2117965</v>
      </c>
      <c r="H722" s="275">
        <f>ROUND(C171+C172,0)</f>
        <v>35868</v>
      </c>
      <c r="I722" s="275">
        <f>ROUND(C175,0)</f>
        <v>129726</v>
      </c>
      <c r="J722" s="275">
        <f>ROUND(C176,0)</f>
        <v>455522</v>
      </c>
      <c r="K722" s="275">
        <f>ROUND(C179,0)</f>
        <v>365971</v>
      </c>
      <c r="L722" s="275">
        <f>ROUND(C180,0)</f>
        <v>179600</v>
      </c>
      <c r="M722" s="275">
        <f>ROUND(C183,0)</f>
        <v>0</v>
      </c>
      <c r="N722" s="275">
        <f>ROUND(C184,0)</f>
        <v>654920</v>
      </c>
      <c r="O722" s="275">
        <f>ROUND(C185,0)</f>
        <v>0</v>
      </c>
      <c r="P722" s="275">
        <f>ROUND(C188,0)</f>
        <v>0</v>
      </c>
      <c r="Q722" s="275">
        <f>ROUND(C189,0)</f>
        <v>940307</v>
      </c>
      <c r="R722" s="275">
        <f>ROUND(B195,0)</f>
        <v>2015498</v>
      </c>
      <c r="S722" s="275">
        <f>ROUND(C195,0)</f>
        <v>0</v>
      </c>
      <c r="T722" s="275">
        <f>ROUND(D195,0)</f>
        <v>0</v>
      </c>
      <c r="U722" s="275">
        <f>ROUND(B196,0)</f>
        <v>2684920</v>
      </c>
      <c r="V722" s="275">
        <f>ROUND(C196,0)</f>
        <v>44536</v>
      </c>
      <c r="W722" s="275">
        <f>ROUND(D196,0)</f>
        <v>0</v>
      </c>
      <c r="X722" s="275">
        <f>ROUND(B197,0)</f>
        <v>36087582</v>
      </c>
      <c r="Y722" s="275">
        <f>ROUND(C197,0)</f>
        <v>99224</v>
      </c>
      <c r="Z722" s="275">
        <f>ROUND(D197,0)</f>
        <v>0</v>
      </c>
      <c r="AA722" s="275">
        <f>ROUND(B198,0)</f>
        <v>21193643</v>
      </c>
      <c r="AB722" s="275">
        <f>ROUND(C198,0)</f>
        <v>99094</v>
      </c>
      <c r="AC722" s="275">
        <f>ROUND(D198,0)</f>
        <v>0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33635081</v>
      </c>
      <c r="AH722" s="275">
        <f>ROUND(C200,0)</f>
        <v>1531745</v>
      </c>
      <c r="AI722" s="275">
        <f>ROUND(D200,0)</f>
        <v>855916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42847</v>
      </c>
      <c r="AN722" s="275">
        <f>ROUND(C202,0)</f>
        <v>0</v>
      </c>
      <c r="AO722" s="275">
        <f>ROUND(D202,0)</f>
        <v>0</v>
      </c>
      <c r="AP722" s="275">
        <f>ROUND(B203,0)</f>
        <v>403900</v>
      </c>
      <c r="AQ722" s="275">
        <f>ROUND(C203,0)</f>
        <v>2584438</v>
      </c>
      <c r="AR722" s="275">
        <f>ROUND(D203,0)</f>
        <v>1196831</v>
      </c>
      <c r="AS722" s="275"/>
      <c r="AT722" s="275"/>
      <c r="AU722" s="275"/>
      <c r="AV722" s="275">
        <f>ROUND(B209,0)</f>
        <v>1364063</v>
      </c>
      <c r="AW722" s="275">
        <f>ROUND(C209,0)</f>
        <v>185430</v>
      </c>
      <c r="AX722" s="275">
        <f>ROUND(D209,0)</f>
        <v>0</v>
      </c>
      <c r="AY722" s="275">
        <f>ROUND(B210,0)</f>
        <v>14782357</v>
      </c>
      <c r="AZ722" s="275">
        <f>ROUND(C210,0)</f>
        <v>1557614</v>
      </c>
      <c r="BA722" s="275">
        <f>ROUND(D210,0)</f>
        <v>0</v>
      </c>
      <c r="BB722" s="275">
        <f>ROUND(B211,0)</f>
        <v>7160033</v>
      </c>
      <c r="BC722" s="275">
        <f>ROUND(C211,0)</f>
        <v>1301694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23561329</v>
      </c>
      <c r="BI722" s="275">
        <f>ROUND(C213,0)</f>
        <v>3606960</v>
      </c>
      <c r="BJ722" s="275">
        <f>ROUND(D213,0)</f>
        <v>828463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32493</v>
      </c>
      <c r="BO722" s="275">
        <f>ROUND(C215,0)</f>
        <v>4285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54539572</v>
      </c>
      <c r="BU722" s="275">
        <f>ROUND(C224,0)</f>
        <v>45085539</v>
      </c>
      <c r="BV722" s="275">
        <f>ROUND(C225,0)</f>
        <v>1768658</v>
      </c>
      <c r="BW722" s="275">
        <f>ROUND(C226,0)</f>
        <v>0</v>
      </c>
      <c r="BX722" s="275">
        <f>ROUND(C227,0)</f>
        <v>16747169</v>
      </c>
      <c r="BY722" s="275">
        <f>ROUND(C228,0)</f>
        <v>0</v>
      </c>
      <c r="BZ722" s="275">
        <f>ROUND(C231,0)</f>
        <v>1479</v>
      </c>
      <c r="CA722" s="275">
        <f>ROUND(C233,0)</f>
        <v>296285</v>
      </c>
      <c r="CB722" s="275">
        <f>ROUND(C234,0)</f>
        <v>2608767</v>
      </c>
      <c r="CC722" s="275">
        <f>ROUND(C238+C239,0)</f>
        <v>2331531</v>
      </c>
      <c r="CD722" s="275">
        <f>D221</f>
        <v>3388438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152*2017*A</v>
      </c>
      <c r="B726" s="275">
        <f>ROUND(C111,0)</f>
        <v>1638</v>
      </c>
      <c r="C726" s="275">
        <f>ROUND(C112,0)</f>
        <v>0</v>
      </c>
      <c r="D726" s="275">
        <f>ROUND(C113,0)</f>
        <v>0</v>
      </c>
      <c r="E726" s="275">
        <f>ROUND(C114,0)</f>
        <v>255</v>
      </c>
      <c r="F726" s="275">
        <f>ROUND(D111,0)</f>
        <v>5087</v>
      </c>
      <c r="G726" s="275">
        <f>ROUND(D112,0)</f>
        <v>0</v>
      </c>
      <c r="H726" s="275">
        <f>ROUND(D113,0)</f>
        <v>0</v>
      </c>
      <c r="I726" s="275">
        <f>ROUND(D114,0)</f>
        <v>545</v>
      </c>
      <c r="J726" s="275">
        <f>ROUND(C116,0)</f>
        <v>7</v>
      </c>
      <c r="K726" s="275">
        <f>ROUND(C117,0)</f>
        <v>0</v>
      </c>
      <c r="L726" s="275">
        <f>ROUND(C118,0)</f>
        <v>16</v>
      </c>
      <c r="M726" s="275">
        <f>ROUND(C119,0)</f>
        <v>0</v>
      </c>
      <c r="N726" s="275">
        <f>ROUND(C120,0)</f>
        <v>2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68</v>
      </c>
      <c r="W726" s="275">
        <f>ROUND(C129,0)</f>
        <v>6</v>
      </c>
      <c r="X726" s="275">
        <f>ROUND(B138,0)</f>
        <v>926</v>
      </c>
      <c r="Y726" s="275">
        <f>ROUND(B139,0)</f>
        <v>2945</v>
      </c>
      <c r="Z726" s="275">
        <f>ROUND(B140,0)</f>
        <v>61422</v>
      </c>
      <c r="AA726" s="275">
        <f>ROUND(B141,0)</f>
        <v>28397656</v>
      </c>
      <c r="AB726" s="275">
        <f>ROUND(B142,0)</f>
        <v>63568680</v>
      </c>
      <c r="AC726" s="275">
        <f>ROUND(C138,0)</f>
        <v>445</v>
      </c>
      <c r="AD726" s="275">
        <f>ROUND(C139,0)</f>
        <v>1323</v>
      </c>
      <c r="AE726" s="275">
        <f>ROUND(C140,0)</f>
        <v>56078</v>
      </c>
      <c r="AF726" s="275">
        <f>ROUND(C141,0)</f>
        <v>14988754</v>
      </c>
      <c r="AG726" s="275">
        <f>ROUND(C142,0)</f>
        <v>52161108</v>
      </c>
      <c r="AH726" s="275">
        <f>ROUND(D138,0)</f>
        <v>267</v>
      </c>
      <c r="AI726" s="275">
        <f>ROUND(D139,0)</f>
        <v>819</v>
      </c>
      <c r="AJ726" s="275">
        <f>ROUND(D140,0)</f>
        <v>56822</v>
      </c>
      <c r="AK726" s="275">
        <f>ROUND(D141,0)</f>
        <v>11340681</v>
      </c>
      <c r="AL726" s="275">
        <f>ROUND(D142,0)</f>
        <v>48435948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6788541</v>
      </c>
      <c r="BR726" s="275">
        <f>ROUND(C157,0)</f>
        <v>3808132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152*2017*A</v>
      </c>
      <c r="B730" s="275">
        <f>ROUND(C250,0)</f>
        <v>58440656</v>
      </c>
      <c r="C730" s="275">
        <f>ROUND(C251,0)</f>
        <v>0</v>
      </c>
      <c r="D730" s="275">
        <f>ROUND(C252,0)</f>
        <v>27967764</v>
      </c>
      <c r="E730" s="275">
        <f>ROUND(C253,0)</f>
        <v>16792787</v>
      </c>
      <c r="F730" s="275">
        <f>ROUND(C254,0)</f>
        <v>0</v>
      </c>
      <c r="G730" s="275">
        <f>ROUND(C255,0)</f>
        <v>0</v>
      </c>
      <c r="H730" s="275">
        <f>ROUND(C256,0)</f>
        <v>99012</v>
      </c>
      <c r="I730" s="275">
        <f>ROUND(C257,0)</f>
        <v>1507817</v>
      </c>
      <c r="J730" s="275">
        <f>ROUND(C258,0)</f>
        <v>1254271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39257</v>
      </c>
      <c r="O730" s="275">
        <f>ROUND(C267,0)</f>
        <v>2015498</v>
      </c>
      <c r="P730" s="275">
        <f>ROUND(C268,0)</f>
        <v>2729456</v>
      </c>
      <c r="Q730" s="275">
        <f>ROUND(C269,0)</f>
        <v>36186806</v>
      </c>
      <c r="R730" s="275">
        <f>ROUND(C270,0)</f>
        <v>21292737</v>
      </c>
      <c r="S730" s="275">
        <f>ROUND(C271,0)</f>
        <v>0</v>
      </c>
      <c r="T730" s="275">
        <f>ROUND(C272,0)</f>
        <v>34310910</v>
      </c>
      <c r="U730" s="275">
        <f>ROUND(C273,0)</f>
        <v>42847</v>
      </c>
      <c r="V730" s="275">
        <f>ROUND(C274,0)</f>
        <v>1791507</v>
      </c>
      <c r="W730" s="275">
        <f>ROUND(C275,0)</f>
        <v>0</v>
      </c>
      <c r="X730" s="275">
        <f>ROUND(C276,0)</f>
        <v>52727795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174364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2701384</v>
      </c>
      <c r="AI730" s="275">
        <f>ROUND(C306,0)</f>
        <v>10327176</v>
      </c>
      <c r="AJ730" s="275">
        <f>ROUND(C307,0)</f>
        <v>2931304</v>
      </c>
      <c r="AK730" s="275">
        <f>ROUND(C308,0)</f>
        <v>0</v>
      </c>
      <c r="AL730" s="275">
        <f>ROUND(C309,0)</f>
        <v>95009</v>
      </c>
      <c r="AM730" s="275">
        <f>ROUND(C310,0)</f>
        <v>0</v>
      </c>
      <c r="AN730" s="275">
        <f>ROUND(C311,0)</f>
        <v>0</v>
      </c>
      <c r="AO730" s="275">
        <f>ROUND(C312,0)</f>
        <v>120692</v>
      </c>
      <c r="AP730" s="275">
        <f>ROUND(C313,0)</f>
        <v>945000</v>
      </c>
      <c r="AQ730" s="275">
        <f>ROUND(C316,0)</f>
        <v>0</v>
      </c>
      <c r="AR730" s="275">
        <f>ROUND(C317,0)</f>
        <v>1336715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23215000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77605040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568.54999999999995</v>
      </c>
      <c r="BJ730" s="275">
        <f>ROUND(C359,0)</f>
        <v>54727091</v>
      </c>
      <c r="BK730" s="275">
        <f>ROUND(C360,0)</f>
        <v>164165736</v>
      </c>
      <c r="BL730" s="275">
        <f>ROUND(C364,0)</f>
        <v>118140938</v>
      </c>
      <c r="BM730" s="275">
        <f>ROUND(C365,0)</f>
        <v>2905052</v>
      </c>
      <c r="BN730" s="275">
        <f>ROUND(C366,0)</f>
        <v>2331531</v>
      </c>
      <c r="BO730" s="275">
        <f>ROUND(C370,0)</f>
        <v>6763004</v>
      </c>
      <c r="BP730" s="275">
        <f>ROUND(C371,0)</f>
        <v>2136980</v>
      </c>
      <c r="BQ730" s="275">
        <f>ROUND(C378,0)</f>
        <v>46207589</v>
      </c>
      <c r="BR730" s="275">
        <f>ROUND(C379,0)</f>
        <v>14108473</v>
      </c>
      <c r="BS730" s="275">
        <f>ROUND(C380,0)</f>
        <v>4537390</v>
      </c>
      <c r="BT730" s="275">
        <f>ROUND(C381,0)</f>
        <v>11238916</v>
      </c>
      <c r="BU730" s="275">
        <f>ROUND(C382,0)</f>
        <v>947357</v>
      </c>
      <c r="BV730" s="275">
        <f>ROUND(C383,0)</f>
        <v>9113960</v>
      </c>
      <c r="BW730" s="275">
        <f>ROUND(C384,0)</f>
        <v>6655982</v>
      </c>
      <c r="BX730" s="275">
        <f>ROUND(C385,0)</f>
        <v>585248</v>
      </c>
      <c r="BY730" s="275">
        <f>ROUND(C386,0)</f>
        <v>545571</v>
      </c>
      <c r="BZ730" s="275">
        <f>ROUND(C387,0)</f>
        <v>654920</v>
      </c>
      <c r="CA730" s="275">
        <f>ROUND(C388,0)</f>
        <v>940307</v>
      </c>
      <c r="CB730" s="275">
        <f>C363</f>
        <v>3388438</v>
      </c>
      <c r="CC730" s="275">
        <f>ROUND(C389,0)</f>
        <v>1772862</v>
      </c>
      <c r="CD730" s="275">
        <f>ROUND(C392,0)</f>
        <v>750123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152*2017*6010*A</v>
      </c>
      <c r="B734" s="275">
        <f>ROUND(C59,0)</f>
        <v>1272</v>
      </c>
      <c r="C734" s="275">
        <f>ROUND(C60,2)</f>
        <v>19.96</v>
      </c>
      <c r="D734" s="275">
        <f>ROUND(C61,0)</f>
        <v>1977685</v>
      </c>
      <c r="E734" s="275">
        <f>ROUND(C62,0)</f>
        <v>543310</v>
      </c>
      <c r="F734" s="275">
        <f>ROUND(C63,0)</f>
        <v>165669</v>
      </c>
      <c r="G734" s="275">
        <f>ROUND(C64,0)</f>
        <v>156180</v>
      </c>
      <c r="H734" s="275">
        <f>ROUND(C65,0)</f>
        <v>1384</v>
      </c>
      <c r="I734" s="275">
        <f>ROUND(C66,0)</f>
        <v>17733</v>
      </c>
      <c r="J734" s="275">
        <f>ROUND(C67,0)</f>
        <v>283565</v>
      </c>
      <c r="K734" s="275">
        <f>ROUND(C68,0)</f>
        <v>2573</v>
      </c>
      <c r="L734" s="275">
        <f>ROUND(C69,0)</f>
        <v>8396</v>
      </c>
      <c r="M734" s="275">
        <f>ROUND(C70,0)</f>
        <v>0</v>
      </c>
      <c r="N734" s="275">
        <f>ROUND(C75,0)</f>
        <v>9854116</v>
      </c>
      <c r="O734" s="275">
        <f>ROUND(C73,0)</f>
        <v>8210173</v>
      </c>
      <c r="P734" s="275">
        <f>IF(C76&gt;0,ROUND(C76,0),0)</f>
        <v>6510</v>
      </c>
      <c r="Q734" s="275">
        <f>IF(C77&gt;0,ROUND(C77,0),0)</f>
        <v>5525</v>
      </c>
      <c r="R734" s="275">
        <f>IF(C78&gt;0,ROUND(C78,0),0)</f>
        <v>6510</v>
      </c>
      <c r="S734" s="275">
        <f>IF(C79&gt;0,ROUND(C79,0),0)</f>
        <v>38615</v>
      </c>
      <c r="T734" s="275">
        <f>IF(C80&gt;0,ROUND(C80,2),0)</f>
        <v>19.96</v>
      </c>
      <c r="U734" s="275"/>
      <c r="V734" s="275"/>
      <c r="W734" s="275"/>
      <c r="X734" s="275"/>
      <c r="Y734" s="275">
        <f>IF(M668&lt;&gt;0,ROUND(M668,0),0)</f>
        <v>2308863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152*2017*6030*A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7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152*2017*6070*A</v>
      </c>
      <c r="B736" s="275">
        <f>ROUND(E59,0)</f>
        <v>3815</v>
      </c>
      <c r="C736" s="277">
        <f>ROUND(E60,2)</f>
        <v>51.26</v>
      </c>
      <c r="D736" s="275">
        <f>ROUND(E61,0)</f>
        <v>4887526</v>
      </c>
      <c r="E736" s="275">
        <f>ROUND(E62,0)</f>
        <v>1394650</v>
      </c>
      <c r="F736" s="275">
        <f>ROUND(E63,0)</f>
        <v>163754</v>
      </c>
      <c r="G736" s="275">
        <f>ROUND(E64,0)</f>
        <v>162420</v>
      </c>
      <c r="H736" s="275">
        <f>ROUND(E65,0)</f>
        <v>1930</v>
      </c>
      <c r="I736" s="275">
        <f>ROUND(E66,0)</f>
        <v>243206</v>
      </c>
      <c r="J736" s="275">
        <f>ROUND(E67,0)</f>
        <v>837583</v>
      </c>
      <c r="K736" s="275">
        <f>ROUND(E68,0)</f>
        <v>7186</v>
      </c>
      <c r="L736" s="275">
        <f>ROUND(E69,0)</f>
        <v>29532</v>
      </c>
      <c r="M736" s="275">
        <f>ROUND(E70,0)</f>
        <v>141</v>
      </c>
      <c r="N736" s="275">
        <f>ROUND(E75,0)</f>
        <v>20345223</v>
      </c>
      <c r="O736" s="275">
        <f>ROUND(E73,0)</f>
        <v>17438647</v>
      </c>
      <c r="P736" s="275">
        <f>IF(E76&gt;0,ROUND(E76,0),0)</f>
        <v>19229</v>
      </c>
      <c r="Q736" s="275">
        <f>IF(E77&gt;0,ROUND(E77,0),0)</f>
        <v>19654</v>
      </c>
      <c r="R736" s="275">
        <f>IF(E78&gt;0,ROUND(E78,0),0)</f>
        <v>19229</v>
      </c>
      <c r="S736" s="275">
        <f>IF(E79&gt;0,ROUND(E79,0),0)</f>
        <v>62785</v>
      </c>
      <c r="T736" s="277">
        <f>IF(E80&gt;0,ROUND(E80,2),0)</f>
        <v>51.26</v>
      </c>
      <c r="U736" s="275"/>
      <c r="V736" s="276"/>
      <c r="W736" s="275"/>
      <c r="X736" s="275"/>
      <c r="Y736" s="275">
        <f t="shared" si="27"/>
        <v>6013745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152*2017*6100*A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7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152*2017*6120*A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7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152*2017*6140*A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7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152*2017*6150*A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7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152*2017*6170*A</v>
      </c>
      <c r="B741" s="275">
        <f>ROUND(J59,0)</f>
        <v>545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17286</v>
      </c>
      <c r="H741" s="275">
        <f>ROUND(J65,0)</f>
        <v>0</v>
      </c>
      <c r="I741" s="275">
        <f>ROUND(J66,0)</f>
        <v>7383</v>
      </c>
      <c r="J741" s="275">
        <f>ROUND(J67,0)</f>
        <v>20952</v>
      </c>
      <c r="K741" s="275">
        <f>ROUND(J68,0)</f>
        <v>0</v>
      </c>
      <c r="L741" s="275">
        <f>ROUND(J69,0)</f>
        <v>1947</v>
      </c>
      <c r="M741" s="275">
        <f>ROUND(J70,0)</f>
        <v>0</v>
      </c>
      <c r="N741" s="275">
        <f>ROUND(J75,0)</f>
        <v>957012</v>
      </c>
      <c r="O741" s="275">
        <f>ROUND(J73,0)</f>
        <v>891227</v>
      </c>
      <c r="P741" s="275">
        <f>IF(J76&gt;0,ROUND(J76,0),0)</f>
        <v>481</v>
      </c>
      <c r="Q741" s="275">
        <f>IF(J77&gt;0,ROUND(J77,0),0)</f>
        <v>0</v>
      </c>
      <c r="R741" s="275">
        <f>IF(J78&gt;0,ROUND(J78,0),0)</f>
        <v>481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7"/>
        <v>88153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152*2017*6200*A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7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152*2017*6210*A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7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152*2017*6330*A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7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152*2017*6400*A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7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152*2017*7010*A</v>
      </c>
      <c r="B746" s="275">
        <f>ROUND(O59,0)</f>
        <v>658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64542</v>
      </c>
      <c r="H746" s="275">
        <f>ROUND(O65,0)</f>
        <v>0</v>
      </c>
      <c r="I746" s="275">
        <f>ROUND(O66,0)</f>
        <v>8938</v>
      </c>
      <c r="J746" s="275">
        <f>ROUND(O67,0)</f>
        <v>42426</v>
      </c>
      <c r="K746" s="275">
        <f>ROUND(O68,0)</f>
        <v>1491</v>
      </c>
      <c r="L746" s="275">
        <f>ROUND(O69,0)</f>
        <v>7525</v>
      </c>
      <c r="M746" s="275">
        <f>ROUND(O70,0)</f>
        <v>0</v>
      </c>
      <c r="N746" s="275">
        <f>ROUND(O75,0)</f>
        <v>2316410</v>
      </c>
      <c r="O746" s="275">
        <f>ROUND(O73,0)</f>
        <v>1831480</v>
      </c>
      <c r="P746" s="275">
        <f>IF(O76&gt;0,ROUND(O76,0),0)</f>
        <v>974</v>
      </c>
      <c r="Q746" s="275">
        <f>IF(O77&gt;0,ROUND(O77,0),0)</f>
        <v>0</v>
      </c>
      <c r="R746" s="275">
        <f>IF(O78&gt;0,ROUND(O78,0),0)</f>
        <v>974</v>
      </c>
      <c r="S746" s="275">
        <f>IF(O79&gt;0,ROUND(O79,0),0)</f>
        <v>23828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7"/>
        <v>241216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152*2017*7020*A</v>
      </c>
      <c r="B747" s="275">
        <f>ROUND(P59,0)</f>
        <v>121810</v>
      </c>
      <c r="C747" s="277">
        <f>ROUND(P60,2)</f>
        <v>20.89</v>
      </c>
      <c r="D747" s="275">
        <f>ROUND(P61,0)</f>
        <v>1578291</v>
      </c>
      <c r="E747" s="275">
        <f>ROUND(P62,0)</f>
        <v>570904</v>
      </c>
      <c r="F747" s="275">
        <f>ROUND(P63,0)</f>
        <v>74297</v>
      </c>
      <c r="G747" s="275">
        <f>ROUND(P64,0)</f>
        <v>709979</v>
      </c>
      <c r="H747" s="275">
        <f>ROUND(P65,0)</f>
        <v>0</v>
      </c>
      <c r="I747" s="275">
        <f>ROUND(P66,0)</f>
        <v>194009</v>
      </c>
      <c r="J747" s="275">
        <f>ROUND(P67,0)</f>
        <v>285568</v>
      </c>
      <c r="K747" s="275">
        <f>ROUND(P68,0)</f>
        <v>116387</v>
      </c>
      <c r="L747" s="275">
        <f>ROUND(P69,0)</f>
        <v>9173</v>
      </c>
      <c r="M747" s="275">
        <f>ROUND(P70,0)</f>
        <v>0</v>
      </c>
      <c r="N747" s="275">
        <f>ROUND(P75,0)</f>
        <v>13876627</v>
      </c>
      <c r="O747" s="275">
        <f>ROUND(P73,0)</f>
        <v>4715803</v>
      </c>
      <c r="P747" s="275">
        <f>IF(P76&gt;0,ROUND(P76,0),0)</f>
        <v>6556</v>
      </c>
      <c r="Q747" s="275">
        <f>IF(P77&gt;0,ROUND(P77,0),0)</f>
        <v>1170</v>
      </c>
      <c r="R747" s="275">
        <f>IF(P78&gt;0,ROUND(P78,0),0)</f>
        <v>6556</v>
      </c>
      <c r="S747" s="275">
        <f>IF(P79&gt;0,ROUND(P79,0),0)</f>
        <v>58871</v>
      </c>
      <c r="T747" s="277">
        <f>IF(P80&gt;0,ROUND(P80,2),0)</f>
        <v>20.89</v>
      </c>
      <c r="U747" s="275"/>
      <c r="V747" s="276"/>
      <c r="W747" s="275"/>
      <c r="X747" s="275"/>
      <c r="Y747" s="275">
        <f t="shared" si="27"/>
        <v>2418925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152*2017*7030*A</v>
      </c>
      <c r="B748" s="275">
        <f>ROUND(Q59,0)</f>
        <v>123269</v>
      </c>
      <c r="C748" s="277">
        <f>ROUND(Q60,2)</f>
        <v>11.93</v>
      </c>
      <c r="D748" s="275">
        <f>ROUND(Q61,0)</f>
        <v>1037641</v>
      </c>
      <c r="E748" s="275">
        <f>ROUND(Q62,0)</f>
        <v>362085</v>
      </c>
      <c r="F748" s="275">
        <f>ROUND(Q63,0)</f>
        <v>0</v>
      </c>
      <c r="G748" s="275">
        <f>ROUND(Q64,0)</f>
        <v>113223</v>
      </c>
      <c r="H748" s="275">
        <f>ROUND(Q65,0)</f>
        <v>0</v>
      </c>
      <c r="I748" s="275">
        <f>ROUND(Q66,0)</f>
        <v>6575</v>
      </c>
      <c r="J748" s="275">
        <f>ROUND(Q67,0)</f>
        <v>315275</v>
      </c>
      <c r="K748" s="275">
        <f>ROUND(Q68,0)</f>
        <v>3278</v>
      </c>
      <c r="L748" s="275">
        <f>ROUND(Q69,0)</f>
        <v>3908</v>
      </c>
      <c r="M748" s="275">
        <f>ROUND(Q70,0)</f>
        <v>0</v>
      </c>
      <c r="N748" s="275">
        <f>ROUND(Q75,0)</f>
        <v>4924564</v>
      </c>
      <c r="O748" s="275">
        <f>ROUND(Q73,0)</f>
        <v>1020680</v>
      </c>
      <c r="P748" s="275">
        <f>IF(Q76&gt;0,ROUND(Q76,0),0)</f>
        <v>7238</v>
      </c>
      <c r="Q748" s="275">
        <f>IF(Q77&gt;0,ROUND(Q77,0),0)</f>
        <v>0</v>
      </c>
      <c r="R748" s="275">
        <f>IF(Q78&gt;0,ROUND(Q78,0),0)</f>
        <v>7238</v>
      </c>
      <c r="S748" s="275">
        <f>IF(Q79&gt;0,ROUND(Q79,0),0)</f>
        <v>4573</v>
      </c>
      <c r="T748" s="277">
        <f>IF(Q80&gt;0,ROUND(Q80,2),0)</f>
        <v>11.93</v>
      </c>
      <c r="U748" s="275"/>
      <c r="V748" s="276"/>
      <c r="W748" s="275"/>
      <c r="X748" s="275"/>
      <c r="Y748" s="275">
        <f t="shared" si="27"/>
        <v>1300907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152*2017*7040*A</v>
      </c>
      <c r="B749" s="275">
        <f>ROUND(R59,0)</f>
        <v>121810</v>
      </c>
      <c r="C749" s="277">
        <f>ROUND(R60,2)</f>
        <v>5.33</v>
      </c>
      <c r="D749" s="275">
        <f>ROUND(R61,0)</f>
        <v>936815</v>
      </c>
      <c r="E749" s="275">
        <f>ROUND(R62,0)</f>
        <v>209076</v>
      </c>
      <c r="F749" s="275">
        <f>ROUND(R63,0)</f>
        <v>20120</v>
      </c>
      <c r="G749" s="275">
        <f>ROUND(R64,0)</f>
        <v>72179</v>
      </c>
      <c r="H749" s="275">
        <f>ROUND(R65,0)</f>
        <v>0</v>
      </c>
      <c r="I749" s="275">
        <f>ROUND(R66,0)</f>
        <v>58763</v>
      </c>
      <c r="J749" s="275">
        <f>ROUND(R67,0)</f>
        <v>13547</v>
      </c>
      <c r="K749" s="275">
        <f>ROUND(R68,0)</f>
        <v>1418</v>
      </c>
      <c r="L749" s="275">
        <f>ROUND(R69,0)</f>
        <v>23095</v>
      </c>
      <c r="M749" s="275">
        <f>ROUND(R70,0)</f>
        <v>1489068</v>
      </c>
      <c r="N749" s="275">
        <f>ROUND(R75,0)</f>
        <v>1682128</v>
      </c>
      <c r="O749" s="275">
        <f>ROUND(R73,0)</f>
        <v>605365</v>
      </c>
      <c r="P749" s="275">
        <f>IF(R76&gt;0,ROUND(R76,0),0)</f>
        <v>311</v>
      </c>
      <c r="Q749" s="275">
        <f>IF(R77&gt;0,ROUND(R77,0),0)</f>
        <v>0</v>
      </c>
      <c r="R749" s="275">
        <f>IF(R78&gt;0,ROUND(R78,0),0)</f>
        <v>311</v>
      </c>
      <c r="S749" s="275">
        <f>IF(R79&gt;0,ROUND(R79,0),0)</f>
        <v>0</v>
      </c>
      <c r="T749" s="277">
        <f>IF(R80&gt;0,ROUND(R80,2),0)</f>
        <v>5.33</v>
      </c>
      <c r="U749" s="275"/>
      <c r="V749" s="276"/>
      <c r="W749" s="275"/>
      <c r="X749" s="275"/>
      <c r="Y749" s="275">
        <f t="shared" si="27"/>
        <v>296226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152*2017*7050*A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2750186</v>
      </c>
      <c r="H750" s="275">
        <f>ROUND(S65,0)</f>
        <v>0</v>
      </c>
      <c r="I750" s="275">
        <f>ROUND(S66,0)</f>
        <v>8</v>
      </c>
      <c r="J750" s="275">
        <f>ROUND(S67,0)</f>
        <v>129238</v>
      </c>
      <c r="K750" s="275">
        <f>ROUND(S68,0)</f>
        <v>6572</v>
      </c>
      <c r="L750" s="275">
        <f>ROUND(S69,0)</f>
        <v>0</v>
      </c>
      <c r="M750" s="275">
        <f>ROUND(S70,0)</f>
        <v>0</v>
      </c>
      <c r="N750" s="275">
        <f>ROUND(S75,0)</f>
        <v>4883032</v>
      </c>
      <c r="O750" s="275">
        <f>ROUND(S73,0)</f>
        <v>2560800</v>
      </c>
      <c r="P750" s="275">
        <f>IF(S76&gt;0,ROUND(S76,0),0)</f>
        <v>2967</v>
      </c>
      <c r="Q750" s="275">
        <f>IF(S77&gt;0,ROUND(S77,0),0)</f>
        <v>0</v>
      </c>
      <c r="R750" s="275">
        <f>IF(S78&gt;0,ROUND(S78,0),0)</f>
        <v>2967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7"/>
        <v>877858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152*2017*7060*A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7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152*2017*7070*A</v>
      </c>
      <c r="B752" s="275">
        <f>ROUND(U59,0)</f>
        <v>169949</v>
      </c>
      <c r="C752" s="277">
        <f>ROUND(U60,2)</f>
        <v>24.26</v>
      </c>
      <c r="D752" s="275">
        <f>ROUND(U61,0)</f>
        <v>1550953</v>
      </c>
      <c r="E752" s="275">
        <f>ROUND(U62,0)</f>
        <v>441526</v>
      </c>
      <c r="F752" s="275">
        <f>ROUND(U63,0)</f>
        <v>11385</v>
      </c>
      <c r="G752" s="275">
        <f>ROUND(U64,0)</f>
        <v>1264594</v>
      </c>
      <c r="H752" s="275">
        <f>ROUND(U65,0)</f>
        <v>1754</v>
      </c>
      <c r="I752" s="275">
        <f>ROUND(U66,0)</f>
        <v>889645</v>
      </c>
      <c r="J752" s="275">
        <f>ROUND(U67,0)</f>
        <v>180680</v>
      </c>
      <c r="K752" s="275">
        <f>ROUND(U68,0)</f>
        <v>11160</v>
      </c>
      <c r="L752" s="275">
        <f>ROUND(U69,0)</f>
        <v>10312</v>
      </c>
      <c r="M752" s="275">
        <f>ROUND(U70,0)</f>
        <v>0</v>
      </c>
      <c r="N752" s="275">
        <f>ROUND(U75,0)</f>
        <v>26023830</v>
      </c>
      <c r="O752" s="275">
        <f>ROUND(U73,0)</f>
        <v>4128772</v>
      </c>
      <c r="P752" s="275">
        <f>IF(U76&gt;0,ROUND(U76,0),0)</f>
        <v>4148</v>
      </c>
      <c r="Q752" s="275">
        <f>IF(U77&gt;0,ROUND(U77,0),0)</f>
        <v>0</v>
      </c>
      <c r="R752" s="275">
        <f>IF(U78&gt;0,ROUND(U78,0),0)</f>
        <v>4148</v>
      </c>
      <c r="S752" s="275">
        <f>IF(U79&gt;0,ROUND(U79,0),0)</f>
        <v>927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7"/>
        <v>2224988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152*2017*7110*A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7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152*2017*7120*A</v>
      </c>
      <c r="B754" s="275">
        <f>ROUND(W59,0)</f>
        <v>1737</v>
      </c>
      <c r="C754" s="277">
        <f>ROUND(W60,2)</f>
        <v>1.82</v>
      </c>
      <c r="D754" s="275">
        <f>ROUND(W61,0)</f>
        <v>177298</v>
      </c>
      <c r="E754" s="275">
        <f>ROUND(W62,0)</f>
        <v>66864</v>
      </c>
      <c r="F754" s="275">
        <f>ROUND(W63,0)</f>
        <v>0</v>
      </c>
      <c r="G754" s="275">
        <f>ROUND(W64,0)</f>
        <v>18685</v>
      </c>
      <c r="H754" s="275">
        <f>ROUND(W65,0)</f>
        <v>0</v>
      </c>
      <c r="I754" s="275">
        <f>ROUND(W66,0)</f>
        <v>167522</v>
      </c>
      <c r="J754" s="275">
        <f>ROUND(W67,0)</f>
        <v>92997</v>
      </c>
      <c r="K754" s="275">
        <f>ROUND(W68,0)</f>
        <v>0</v>
      </c>
      <c r="L754" s="275">
        <f>ROUND(W69,0)</f>
        <v>2713</v>
      </c>
      <c r="M754" s="275">
        <f>ROUND(W70,0)</f>
        <v>0</v>
      </c>
      <c r="N754" s="275">
        <f>ROUND(W75,0)</f>
        <v>6774024</v>
      </c>
      <c r="O754" s="275">
        <f>ROUND(W73,0)</f>
        <v>382252</v>
      </c>
      <c r="P754" s="275">
        <f>IF(W76&gt;0,ROUND(W76,0),0)</f>
        <v>2135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7"/>
        <v>506668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152*2017*7130*A</v>
      </c>
      <c r="B755" s="275">
        <f>ROUND(X59,0)</f>
        <v>25218</v>
      </c>
      <c r="C755" s="277">
        <f>ROUND(X60,2)</f>
        <v>3.55</v>
      </c>
      <c r="D755" s="275">
        <f>ROUND(X61,0)</f>
        <v>406588</v>
      </c>
      <c r="E755" s="275">
        <f>ROUND(X62,0)</f>
        <v>127965</v>
      </c>
      <c r="F755" s="275">
        <f>ROUND(X63,0)</f>
        <v>0</v>
      </c>
      <c r="G755" s="275">
        <f>ROUND(X64,0)</f>
        <v>153472</v>
      </c>
      <c r="H755" s="275">
        <f>ROUND(X65,0)</f>
        <v>0</v>
      </c>
      <c r="I755" s="275">
        <f>ROUND(X66,0)</f>
        <v>121631</v>
      </c>
      <c r="J755" s="275">
        <f>ROUND(X67,0)</f>
        <v>34455</v>
      </c>
      <c r="K755" s="275">
        <f>ROUND(X68,0)</f>
        <v>0</v>
      </c>
      <c r="L755" s="275">
        <f>ROUND(X69,0)</f>
        <v>1394</v>
      </c>
      <c r="M755" s="275">
        <f>ROUND(X70,0)</f>
        <v>0</v>
      </c>
      <c r="N755" s="275">
        <f>ROUND(X75,0)</f>
        <v>20067614</v>
      </c>
      <c r="O755" s="275">
        <f>ROUND(X73,0)</f>
        <v>1823929</v>
      </c>
      <c r="P755" s="275">
        <f>IF(X76&gt;0,ROUND(X76,0),0)</f>
        <v>791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7"/>
        <v>1255031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152*2017*7140*A</v>
      </c>
      <c r="B756" s="275">
        <f>ROUND(Y59,0)</f>
        <v>35256</v>
      </c>
      <c r="C756" s="277">
        <f>ROUND(Y60,2)</f>
        <v>21.91</v>
      </c>
      <c r="D756" s="275">
        <f>ROUND(Y61,0)</f>
        <v>1698872</v>
      </c>
      <c r="E756" s="275">
        <f>ROUND(Y62,0)</f>
        <v>500648</v>
      </c>
      <c r="F756" s="275">
        <f>ROUND(Y63,0)</f>
        <v>0</v>
      </c>
      <c r="G756" s="275">
        <f>ROUND(Y64,0)</f>
        <v>150342</v>
      </c>
      <c r="H756" s="275">
        <f>ROUND(Y65,0)</f>
        <v>692</v>
      </c>
      <c r="I756" s="275">
        <f>ROUND(Y66,0)</f>
        <v>590935</v>
      </c>
      <c r="J756" s="275">
        <f>ROUND(Y67,0)</f>
        <v>231817</v>
      </c>
      <c r="K756" s="275">
        <f>ROUND(Y68,0)</f>
        <v>6849</v>
      </c>
      <c r="L756" s="275">
        <f>ROUND(Y69,0)</f>
        <v>9041</v>
      </c>
      <c r="M756" s="275">
        <f>ROUND(Y70,0)</f>
        <v>1756</v>
      </c>
      <c r="N756" s="275">
        <f>ROUND(Y75,0)</f>
        <v>18541980</v>
      </c>
      <c r="O756" s="275">
        <f>ROUND(Y73,0)</f>
        <v>1876470</v>
      </c>
      <c r="P756" s="275">
        <f>IF(Y76&gt;0,ROUND(Y76,0),0)</f>
        <v>5322</v>
      </c>
      <c r="Q756" s="275">
        <f>IF(Y77&gt;0,ROUND(Y77,0),0)</f>
        <v>0</v>
      </c>
      <c r="R756" s="275">
        <f>IF(Y78&gt;0,ROUND(Y78,0),0)</f>
        <v>5322</v>
      </c>
      <c r="S756" s="275">
        <f>IF(Y79&gt;0,ROUND(Y79,0),0)</f>
        <v>25074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7"/>
        <v>1729930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152*2017*7150*A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7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152*2017*7160*A</v>
      </c>
      <c r="B758" s="275">
        <f>ROUND(AA59,0)</f>
        <v>0</v>
      </c>
      <c r="C758" s="277">
        <f>ROUND(AA60,2)</f>
        <v>1</v>
      </c>
      <c r="D758" s="275">
        <f>ROUND(AA61,0)</f>
        <v>103313</v>
      </c>
      <c r="E758" s="275">
        <f>ROUND(AA62,0)</f>
        <v>35761</v>
      </c>
      <c r="F758" s="275">
        <f>ROUND(AA63,0)</f>
        <v>0</v>
      </c>
      <c r="G758" s="275">
        <f>ROUND(AA64,0)</f>
        <v>30942</v>
      </c>
      <c r="H758" s="275">
        <f>ROUND(AA65,0)</f>
        <v>0</v>
      </c>
      <c r="I758" s="275">
        <f>ROUND(AA66,0)</f>
        <v>25594</v>
      </c>
      <c r="J758" s="275">
        <f>ROUND(AA67,0)</f>
        <v>30012</v>
      </c>
      <c r="K758" s="275">
        <f>ROUND(AA68,0)</f>
        <v>0</v>
      </c>
      <c r="L758" s="275">
        <f>ROUND(AA69,0)</f>
        <v>6608</v>
      </c>
      <c r="M758" s="275">
        <f>ROUND(AA70,0)</f>
        <v>0</v>
      </c>
      <c r="N758" s="275">
        <f>ROUND(AA75,0)</f>
        <v>689816</v>
      </c>
      <c r="O758" s="275">
        <f>ROUND(AA73,0)</f>
        <v>135308</v>
      </c>
      <c r="P758" s="275">
        <f>IF(AA76&gt;0,ROUND(AA76,0),0)</f>
        <v>689</v>
      </c>
      <c r="Q758" s="275">
        <f>IF(AA77&gt;0,ROUND(AA77,0),0)</f>
        <v>0</v>
      </c>
      <c r="R758" s="275">
        <f>IF(AA78&gt;0,ROUND(AA78,0),0)</f>
        <v>689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7"/>
        <v>103629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152*2017*7170*A</v>
      </c>
      <c r="B759" s="275"/>
      <c r="C759" s="277">
        <f>ROUND(AB60,2)</f>
        <v>14.97</v>
      </c>
      <c r="D759" s="275">
        <f>ROUND(AB61,0)</f>
        <v>1585290</v>
      </c>
      <c r="E759" s="275">
        <f>ROUND(AB62,0)</f>
        <v>475072</v>
      </c>
      <c r="F759" s="275">
        <f>ROUND(AB63,0)</f>
        <v>0</v>
      </c>
      <c r="G759" s="275">
        <f>ROUND(AB64,0)</f>
        <v>2440648</v>
      </c>
      <c r="H759" s="275">
        <f>ROUND(AB65,0)</f>
        <v>0</v>
      </c>
      <c r="I759" s="275">
        <f>ROUND(AB66,0)</f>
        <v>260338</v>
      </c>
      <c r="J759" s="275">
        <f>ROUND(AB67,0)</f>
        <v>79058</v>
      </c>
      <c r="K759" s="275">
        <f>ROUND(AB68,0)</f>
        <v>0</v>
      </c>
      <c r="L759" s="275">
        <f>ROUND(AB69,0)</f>
        <v>18471</v>
      </c>
      <c r="M759" s="275">
        <f>ROUND(AB70,0)</f>
        <v>2525543</v>
      </c>
      <c r="N759" s="275">
        <f>ROUND(AB75,0)</f>
        <v>8346967</v>
      </c>
      <c r="O759" s="275">
        <f>ROUND(AB73,0)</f>
        <v>2985113</v>
      </c>
      <c r="P759" s="275">
        <f>IF(AB76&gt;0,ROUND(AB76,0),0)</f>
        <v>1815</v>
      </c>
      <c r="Q759" s="275">
        <f>IF(AB77&gt;0,ROUND(AB77,0),0)</f>
        <v>0</v>
      </c>
      <c r="R759" s="275">
        <f>IF(AB78&gt;0,ROUND(AB78,0),0)</f>
        <v>1815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7"/>
        <v>974251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152*2017*7180*A</v>
      </c>
      <c r="B760" s="275">
        <f>ROUND(AC59,0)</f>
        <v>6073</v>
      </c>
      <c r="C760" s="277">
        <f>ROUND(AC60,2)</f>
        <v>9.8000000000000007</v>
      </c>
      <c r="D760" s="275">
        <f>ROUND(AC61,0)</f>
        <v>761421</v>
      </c>
      <c r="E760" s="275">
        <f>ROUND(AC62,0)</f>
        <v>256357</v>
      </c>
      <c r="F760" s="275">
        <f>ROUND(AC63,0)</f>
        <v>0</v>
      </c>
      <c r="G760" s="275">
        <f>ROUND(AC64,0)</f>
        <v>100092</v>
      </c>
      <c r="H760" s="275">
        <f>ROUND(AC65,0)</f>
        <v>0</v>
      </c>
      <c r="I760" s="275">
        <f>ROUND(AC66,0)</f>
        <v>32163</v>
      </c>
      <c r="J760" s="275">
        <f>ROUND(AC67,0)</f>
        <v>35021</v>
      </c>
      <c r="K760" s="275">
        <f>ROUND(AC68,0)</f>
        <v>19176</v>
      </c>
      <c r="L760" s="275">
        <f>ROUND(AC69,0)</f>
        <v>561</v>
      </c>
      <c r="M760" s="275">
        <f>ROUND(AC70,0)</f>
        <v>0</v>
      </c>
      <c r="N760" s="275">
        <f>ROUND(AC75,0)</f>
        <v>6505441</v>
      </c>
      <c r="O760" s="275">
        <f>ROUND(AC73,0)</f>
        <v>3834232</v>
      </c>
      <c r="P760" s="275">
        <f>IF(AC76&gt;0,ROUND(AC76,0),0)</f>
        <v>804</v>
      </c>
      <c r="Q760" s="275">
        <f>IF(AC77&gt;0,ROUND(AC77,0),0)</f>
        <v>0</v>
      </c>
      <c r="R760" s="275">
        <f>IF(AC78&gt;0,ROUND(AC78,0),0)</f>
        <v>804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7"/>
        <v>545003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152*2017*7190*A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7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152*2017*7200*A</v>
      </c>
      <c r="B762" s="275">
        <f>ROUND(AE59,0)</f>
        <v>21053</v>
      </c>
      <c r="C762" s="277">
        <f>ROUND(AE60,2)</f>
        <v>18.73</v>
      </c>
      <c r="D762" s="275">
        <f>ROUND(AE61,0)</f>
        <v>1383390</v>
      </c>
      <c r="E762" s="275">
        <f>ROUND(AE62,0)</f>
        <v>360663</v>
      </c>
      <c r="F762" s="275">
        <f>ROUND(AE63,0)</f>
        <v>78070</v>
      </c>
      <c r="G762" s="275">
        <f>ROUND(AE64,0)</f>
        <v>32494</v>
      </c>
      <c r="H762" s="275">
        <f>ROUND(AE65,0)</f>
        <v>0</v>
      </c>
      <c r="I762" s="275">
        <f>ROUND(AE66,0)</f>
        <v>20878</v>
      </c>
      <c r="J762" s="275">
        <f>ROUND(AE67,0)</f>
        <v>169093</v>
      </c>
      <c r="K762" s="275">
        <f>ROUND(AE68,0)</f>
        <v>6901</v>
      </c>
      <c r="L762" s="275">
        <f>ROUND(AE69,0)</f>
        <v>11335</v>
      </c>
      <c r="M762" s="275">
        <f>ROUND(AE70,0)</f>
        <v>0</v>
      </c>
      <c r="N762" s="275">
        <f>ROUND(AE75,0)</f>
        <v>6485876</v>
      </c>
      <c r="O762" s="275">
        <f>ROUND(AE73,0)</f>
        <v>560891</v>
      </c>
      <c r="P762" s="275">
        <f>IF(AE76&gt;0,ROUND(AE76,0),0)</f>
        <v>3882</v>
      </c>
      <c r="Q762" s="275">
        <f>IF(AE77&gt;0,ROUND(AE77,0),0)</f>
        <v>0</v>
      </c>
      <c r="R762" s="275">
        <f>IF(AE78&gt;0,ROUND(AE78,0),0)</f>
        <v>3882</v>
      </c>
      <c r="S762" s="275">
        <f>IF(AE79&gt;0,ROUND(AE79,0),0)</f>
        <v>10235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7"/>
        <v>829111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152*2017*7220*A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7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152*2017*7230*A</v>
      </c>
      <c r="B764" s="275">
        <f>ROUND(AG59,0)</f>
        <v>20750</v>
      </c>
      <c r="C764" s="277">
        <f>ROUND(AG60,2)</f>
        <v>27.81</v>
      </c>
      <c r="D764" s="275">
        <f>ROUND(AG61,0)</f>
        <v>2445037</v>
      </c>
      <c r="E764" s="275">
        <f>ROUND(AG62,0)</f>
        <v>613418</v>
      </c>
      <c r="F764" s="275">
        <f>ROUND(AG63,0)</f>
        <v>2859929</v>
      </c>
      <c r="G764" s="275">
        <f>ROUND(AG64,0)</f>
        <v>263203</v>
      </c>
      <c r="H764" s="275">
        <f>ROUND(AG65,0)</f>
        <v>0</v>
      </c>
      <c r="I764" s="275">
        <f>ROUND(AG66,0)</f>
        <v>18592</v>
      </c>
      <c r="J764" s="275">
        <f>ROUND(AG67,0)</f>
        <v>415154</v>
      </c>
      <c r="K764" s="275">
        <f>ROUND(AG68,0)</f>
        <v>6702</v>
      </c>
      <c r="L764" s="275">
        <f>ROUND(AG69,0)</f>
        <v>38785</v>
      </c>
      <c r="M764" s="275">
        <f>ROUND(AG70,0)</f>
        <v>0</v>
      </c>
      <c r="N764" s="275">
        <f>ROUND(AG75,0)</f>
        <v>40727971</v>
      </c>
      <c r="O764" s="275">
        <f>ROUND(AG73,0)</f>
        <v>1725949</v>
      </c>
      <c r="P764" s="275">
        <f>IF(AG76&gt;0,ROUND(AG76,0),0)</f>
        <v>9531</v>
      </c>
      <c r="Q764" s="275">
        <f>IF(AG77&gt;0,ROUND(AG77,0),0)</f>
        <v>2790</v>
      </c>
      <c r="R764" s="275">
        <f>IF(AG78&gt;0,ROUND(AG78,0),0)</f>
        <v>9531</v>
      </c>
      <c r="S764" s="275">
        <f>IF(AG79&gt;0,ROUND(AG79,0),0)</f>
        <v>72896</v>
      </c>
      <c r="T764" s="277">
        <f>IF(AG80&gt;0,ROUND(AG80,2),0)</f>
        <v>27.81</v>
      </c>
      <c r="U764" s="275"/>
      <c r="V764" s="276"/>
      <c r="W764" s="275"/>
      <c r="X764" s="275"/>
      <c r="Y764" s="275">
        <f t="shared" si="27"/>
        <v>4708075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152*2017*7240*A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7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152*2017*7250*A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7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152*2017*7260*A</v>
      </c>
      <c r="B767" s="275">
        <f>ROUND(AJ59,0)</f>
        <v>0</v>
      </c>
      <c r="C767" s="277">
        <f>ROUND(AJ60,2)</f>
        <v>0</v>
      </c>
      <c r="D767" s="275">
        <f>ROUND(AJ61,0)</f>
        <v>0</v>
      </c>
      <c r="E767" s="275">
        <f>ROUND(AJ62,0)</f>
        <v>0</v>
      </c>
      <c r="F767" s="275">
        <f>ROUND(AJ63,0)</f>
        <v>0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0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0</v>
      </c>
      <c r="O767" s="275">
        <f>ROUND(AJ73,0)</f>
        <v>0</v>
      </c>
      <c r="P767" s="275">
        <f>IF(AJ76&gt;0,ROUND(AJ76,0),0)</f>
        <v>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7"/>
        <v>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152*2017*7310*A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7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152*2017*7320*A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7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152*2017*7330*A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7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152*2017*7340*A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7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152*2017*7350*A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7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152*2017*7380*A</v>
      </c>
      <c r="B773" s="275">
        <f>ROUND(AP59,0)</f>
        <v>0</v>
      </c>
      <c r="C773" s="277">
        <f>ROUND(AP60,2)</f>
        <v>143</v>
      </c>
      <c r="D773" s="275">
        <f>ROUND(AP61,0)</f>
        <v>12730272</v>
      </c>
      <c r="E773" s="275">
        <f>ROUND(AP62,0)</f>
        <v>3559420</v>
      </c>
      <c r="F773" s="275">
        <f>ROUND(AP63,0)</f>
        <v>1020853</v>
      </c>
      <c r="G773" s="275">
        <f>ROUND(AP64,0)</f>
        <v>943583</v>
      </c>
      <c r="H773" s="275">
        <f>ROUND(AP65,0)</f>
        <v>31314</v>
      </c>
      <c r="I773" s="275">
        <f>ROUND(AP66,0)</f>
        <v>223062</v>
      </c>
      <c r="J773" s="275">
        <f>ROUND(AP67,0)</f>
        <v>660221</v>
      </c>
      <c r="K773" s="275">
        <f>ROUND(AP68,0)</f>
        <v>71770</v>
      </c>
      <c r="L773" s="275">
        <f>ROUND(AP69,0)</f>
        <v>365817</v>
      </c>
      <c r="M773" s="275">
        <f>ROUND(AP70,0)</f>
        <v>53870</v>
      </c>
      <c r="N773" s="275">
        <f>ROUND(AP75,0)</f>
        <v>25652413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7"/>
        <v>3440228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152*2017*7390*A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7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152*2017*7400*A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7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152*2017*7410*A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7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152*2017*7420*A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7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152*2017*7430*A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7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152*2017*7490*A</v>
      </c>
      <c r="B779" s="275"/>
      <c r="C779" s="277">
        <f>ROUND(AV60,2)</f>
        <v>2.9</v>
      </c>
      <c r="D779" s="275">
        <f>ROUND(AV61,0)</f>
        <v>249912</v>
      </c>
      <c r="E779" s="275">
        <f>ROUND(AV62,0)</f>
        <v>72890</v>
      </c>
      <c r="F779" s="275">
        <f>ROUND(AV63,0)</f>
        <v>0</v>
      </c>
      <c r="G779" s="275">
        <f>ROUND(AV64,0)</f>
        <v>5467</v>
      </c>
      <c r="H779" s="275">
        <f>ROUND(AV65,0)</f>
        <v>0</v>
      </c>
      <c r="I779" s="275">
        <f>ROUND(AV66,0)</f>
        <v>6780</v>
      </c>
      <c r="J779" s="275">
        <f>ROUND(AV67,0)</f>
        <v>67603</v>
      </c>
      <c r="K779" s="275">
        <f>ROUND(AV68,0)</f>
        <v>0</v>
      </c>
      <c r="L779" s="275">
        <f>ROUND(AV69,0)</f>
        <v>6118</v>
      </c>
      <c r="M779" s="275">
        <f>ROUND(AV70,0)</f>
        <v>8385</v>
      </c>
      <c r="N779" s="275">
        <f>ROUND(AV75,0)</f>
        <v>237783</v>
      </c>
      <c r="O779" s="275">
        <f>ROUND(AV73,0)</f>
        <v>0</v>
      </c>
      <c r="P779" s="275">
        <f>IF(AV76&gt;0,ROUND(AV76,0),0)</f>
        <v>1552</v>
      </c>
      <c r="Q779" s="275">
        <f>IF(AV77&gt;0,ROUND(AV77,0),0)</f>
        <v>0</v>
      </c>
      <c r="R779" s="275">
        <f>IF(AV78&gt;0,ROUND(AV78,0),0)</f>
        <v>1552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7"/>
        <v>145751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152*2017*8200*A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152*2017*8310*A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152*2017*8320*A</v>
      </c>
      <c r="B782" s="275">
        <f>ROUND(AY59,0)</f>
        <v>32000</v>
      </c>
      <c r="C782" s="277">
        <f>ROUND(AY60,2)</f>
        <v>17.25</v>
      </c>
      <c r="D782" s="275">
        <f>ROUND(AY61,0)</f>
        <v>699267</v>
      </c>
      <c r="E782" s="275">
        <f>ROUND(AY62,0)</f>
        <v>352035</v>
      </c>
      <c r="F782" s="275">
        <f>ROUND(AY63,0)</f>
        <v>0</v>
      </c>
      <c r="G782" s="275">
        <f>ROUND(AY64,0)</f>
        <v>691906</v>
      </c>
      <c r="H782" s="275">
        <f>ROUND(AY65,0)</f>
        <v>0</v>
      </c>
      <c r="I782" s="275">
        <f>ROUND(AY66,0)</f>
        <v>22454</v>
      </c>
      <c r="J782" s="275">
        <f>ROUND(AY67,0)</f>
        <v>219229</v>
      </c>
      <c r="K782" s="275">
        <f>ROUND(AY68,0)</f>
        <v>3382</v>
      </c>
      <c r="L782" s="275">
        <f>ROUND(AY69,0)</f>
        <v>195</v>
      </c>
      <c r="M782" s="275">
        <f>ROUND(AY70,0)</f>
        <v>461272</v>
      </c>
      <c r="N782" s="275"/>
      <c r="O782" s="275"/>
      <c r="P782" s="275">
        <f>IF(AY76&gt;0,ROUND(AY76,0),0)</f>
        <v>5033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152*2017*8330*A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152*2017*8350*A</v>
      </c>
      <c r="B784" s="275">
        <f>ROUND(BA59,0)</f>
        <v>0</v>
      </c>
      <c r="C784" s="277">
        <f>ROUND(BA60,2)</f>
        <v>1.39</v>
      </c>
      <c r="D784" s="275">
        <f>ROUND(BA61,0)</f>
        <v>52642</v>
      </c>
      <c r="E784" s="275">
        <f>ROUND(BA62,0)</f>
        <v>18559</v>
      </c>
      <c r="F784" s="275">
        <f>ROUND(BA63,0)</f>
        <v>0</v>
      </c>
      <c r="G784" s="275">
        <f>ROUND(BA64,0)</f>
        <v>61066</v>
      </c>
      <c r="H784" s="275">
        <f>ROUND(BA65,0)</f>
        <v>0</v>
      </c>
      <c r="I784" s="275">
        <f>ROUND(BA66,0)</f>
        <v>142728</v>
      </c>
      <c r="J784" s="275">
        <f>ROUND(BA67,0)</f>
        <v>63552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1459</v>
      </c>
      <c r="Q784" s="275">
        <f>IF(BA77&gt;0,ROUND(BA77,0),0)</f>
        <v>0</v>
      </c>
      <c r="R784" s="275">
        <f>IF(BA78&gt;0,ROUND(BA78,0),0)</f>
        <v>1459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152*2017*8360*A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152*2017*8370*A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152*2017*8420*A</v>
      </c>
      <c r="B787" s="275"/>
      <c r="C787" s="277">
        <f>ROUND(BD60,2)</f>
        <v>5.62</v>
      </c>
      <c r="D787" s="275">
        <f>ROUND(BD61,0)</f>
        <v>308377</v>
      </c>
      <c r="E787" s="275">
        <f>ROUND(BD62,0)</f>
        <v>103735</v>
      </c>
      <c r="F787" s="275">
        <f>ROUND(BD63,0)</f>
        <v>0</v>
      </c>
      <c r="G787" s="275">
        <f>ROUND(BD64,0)</f>
        <v>3825</v>
      </c>
      <c r="H787" s="275">
        <f>ROUND(BD65,0)</f>
        <v>937</v>
      </c>
      <c r="I787" s="275">
        <f>ROUND(BD66,0)</f>
        <v>8105</v>
      </c>
      <c r="J787" s="275">
        <f>ROUND(BD67,0)</f>
        <v>148011</v>
      </c>
      <c r="K787" s="275">
        <f>ROUND(BD68,0)</f>
        <v>13849</v>
      </c>
      <c r="L787" s="275">
        <f>ROUND(BD69,0)</f>
        <v>4713</v>
      </c>
      <c r="M787" s="275">
        <f>ROUND(BD70,0)</f>
        <v>0</v>
      </c>
      <c r="N787" s="275"/>
      <c r="O787" s="275"/>
      <c r="P787" s="275">
        <f>IF(BD76&gt;0,ROUND(BD76,0),0)</f>
        <v>3398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152*2017*8430*A</v>
      </c>
      <c r="B788" s="275">
        <f>ROUND(BE59,0)</f>
        <v>137649</v>
      </c>
      <c r="C788" s="277">
        <f>ROUND(BE60,2)</f>
        <v>11.71</v>
      </c>
      <c r="D788" s="275">
        <f>ROUND(BE61,0)</f>
        <v>816302</v>
      </c>
      <c r="E788" s="275">
        <f>ROUND(BE62,0)</f>
        <v>305924</v>
      </c>
      <c r="F788" s="275">
        <f>ROUND(BE63,0)</f>
        <v>0</v>
      </c>
      <c r="G788" s="275">
        <f>ROUND(BE64,0)</f>
        <v>91857</v>
      </c>
      <c r="H788" s="275">
        <f>ROUND(BE65,0)</f>
        <v>635626</v>
      </c>
      <c r="I788" s="275">
        <f>ROUND(BE66,0)</f>
        <v>394618</v>
      </c>
      <c r="J788" s="275">
        <f>ROUND(BE67,0)</f>
        <v>1077677</v>
      </c>
      <c r="K788" s="275">
        <f>ROUND(BE68,0)</f>
        <v>39099</v>
      </c>
      <c r="L788" s="275">
        <f>ROUND(BE69,0)</f>
        <v>22728</v>
      </c>
      <c r="M788" s="275">
        <f>ROUND(BE70,0)</f>
        <v>5530</v>
      </c>
      <c r="N788" s="275"/>
      <c r="O788" s="275"/>
      <c r="P788" s="275">
        <f>IF(BE76&gt;0,ROUND(BE76,0),0)</f>
        <v>24741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152*2017*8460*A</v>
      </c>
      <c r="B789" s="275"/>
      <c r="C789" s="277">
        <f>ROUND(BF60,2)</f>
        <v>24.53</v>
      </c>
      <c r="D789" s="275">
        <f>ROUND(BF61,0)</f>
        <v>959519</v>
      </c>
      <c r="E789" s="275">
        <f>ROUND(BF62,0)</f>
        <v>420967</v>
      </c>
      <c r="F789" s="275">
        <f>ROUND(BF63,0)</f>
        <v>0</v>
      </c>
      <c r="G789" s="275">
        <f>ROUND(BF64,0)</f>
        <v>214261</v>
      </c>
      <c r="H789" s="275">
        <f>ROUND(BF65,0)</f>
        <v>73505</v>
      </c>
      <c r="I789" s="275">
        <f>ROUND(BF66,0)</f>
        <v>153975</v>
      </c>
      <c r="J789" s="275">
        <f>ROUND(BF67,0)</f>
        <v>92649</v>
      </c>
      <c r="K789" s="275">
        <f>ROUND(BF68,0)</f>
        <v>380</v>
      </c>
      <c r="L789" s="275">
        <f>ROUND(BF69,0)</f>
        <v>28576</v>
      </c>
      <c r="M789" s="275">
        <f>ROUND(BF70,0)</f>
        <v>0</v>
      </c>
      <c r="N789" s="275"/>
      <c r="O789" s="275"/>
      <c r="P789" s="275">
        <f>IF(BF76&gt;0,ROUND(BF76,0),0)</f>
        <v>2127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152*2017*8470*A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152*2017*8480*A</v>
      </c>
      <c r="B791" s="275"/>
      <c r="C791" s="277">
        <f>ROUND(BH60,2)</f>
        <v>4.96</v>
      </c>
      <c r="D791" s="275">
        <f>ROUND(BH61,0)</f>
        <v>319362</v>
      </c>
      <c r="E791" s="275">
        <f>ROUND(BH62,0)</f>
        <v>106454</v>
      </c>
      <c r="F791" s="275">
        <f>ROUND(BH63,0)</f>
        <v>0</v>
      </c>
      <c r="G791" s="275">
        <f>ROUND(BH64,0)</f>
        <v>487246</v>
      </c>
      <c r="H791" s="275">
        <f>ROUND(BH65,0)</f>
        <v>179590</v>
      </c>
      <c r="I791" s="275">
        <f>ROUND(BH66,0)</f>
        <v>3114151</v>
      </c>
      <c r="J791" s="275">
        <f>ROUND(BH67,0)</f>
        <v>129072</v>
      </c>
      <c r="K791" s="275">
        <f>ROUND(BH68,0)</f>
        <v>72219</v>
      </c>
      <c r="L791" s="275">
        <f>ROUND(BH69,0)</f>
        <v>67277</v>
      </c>
      <c r="M791" s="275">
        <f>ROUND(BH70,0)</f>
        <v>0</v>
      </c>
      <c r="N791" s="275"/>
      <c r="O791" s="275"/>
      <c r="P791" s="275">
        <f>IF(BH76&gt;0,ROUND(BH76,0),0)</f>
        <v>2963</v>
      </c>
      <c r="Q791" s="275">
        <f>IF(BH77&gt;0,ROUND(BH77,0),0)</f>
        <v>0</v>
      </c>
      <c r="R791" s="275">
        <f>IF(BH78&gt;0,ROUND(BH78,0),0)</f>
        <v>2963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152*2017*8490*A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152*2017*8510*A</v>
      </c>
      <c r="B793" s="275"/>
      <c r="C793" s="277">
        <f>ROUND(BJ60,2)</f>
        <v>4.8899999999999997</v>
      </c>
      <c r="D793" s="275">
        <f>ROUND(BJ61,0)</f>
        <v>411257</v>
      </c>
      <c r="E793" s="275">
        <f>ROUND(BJ62,0)</f>
        <v>132410</v>
      </c>
      <c r="F793" s="275">
        <f>ROUND(BJ63,0)</f>
        <v>0</v>
      </c>
      <c r="G793" s="275">
        <f>ROUND(BJ64,0)</f>
        <v>4478</v>
      </c>
      <c r="H793" s="275">
        <f>ROUND(BJ65,0)</f>
        <v>0</v>
      </c>
      <c r="I793" s="275">
        <f>ROUND(BJ66,0)</f>
        <v>15007</v>
      </c>
      <c r="J793" s="275">
        <f>ROUND(BJ67,0)</f>
        <v>67611</v>
      </c>
      <c r="K793" s="275">
        <f>ROUND(BJ68,0)</f>
        <v>4826</v>
      </c>
      <c r="L793" s="275">
        <f>ROUND(BJ69,0)</f>
        <v>112864</v>
      </c>
      <c r="M793" s="275">
        <f>ROUND(BJ70,0)</f>
        <v>0</v>
      </c>
      <c r="N793" s="275"/>
      <c r="O793" s="275"/>
      <c r="P793" s="275">
        <f>IF(BJ76&gt;0,ROUND(BJ76,0),0)</f>
        <v>1552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152*2017*8530*A</v>
      </c>
      <c r="B794" s="275"/>
      <c r="C794" s="277">
        <f>ROUND(BK60,2)</f>
        <v>20.76</v>
      </c>
      <c r="D794" s="275">
        <f>ROUND(BK61,0)</f>
        <v>1104978</v>
      </c>
      <c r="E794" s="275">
        <f>ROUND(BK62,0)</f>
        <v>464031</v>
      </c>
      <c r="F794" s="275">
        <f>ROUND(BK63,0)</f>
        <v>0</v>
      </c>
      <c r="G794" s="275">
        <f>ROUND(BK64,0)</f>
        <v>10882</v>
      </c>
      <c r="H794" s="275">
        <f>ROUND(BK65,0)</f>
        <v>0</v>
      </c>
      <c r="I794" s="275">
        <f>ROUND(BK66,0)</f>
        <v>107208</v>
      </c>
      <c r="J794" s="275">
        <f>ROUND(BK67,0)</f>
        <v>92997</v>
      </c>
      <c r="K794" s="275">
        <f>ROUND(BK68,0)</f>
        <v>77790</v>
      </c>
      <c r="L794" s="275">
        <f>ROUND(BK69,0)</f>
        <v>19606</v>
      </c>
      <c r="M794" s="275">
        <f>ROUND(BK70,0)</f>
        <v>0</v>
      </c>
      <c r="N794" s="275"/>
      <c r="O794" s="275"/>
      <c r="P794" s="275">
        <f>IF(BK76&gt;0,ROUND(BK76,0),0)</f>
        <v>2135</v>
      </c>
      <c r="Q794" s="275">
        <f>IF(BK77&gt;0,ROUND(BK77,0),0)</f>
        <v>0</v>
      </c>
      <c r="R794" s="275">
        <f>IF(BK78&gt;0,ROUND(BK78,0),0)</f>
        <v>2135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152*2017*8560*A</v>
      </c>
      <c r="B795" s="275"/>
      <c r="C795" s="277">
        <f>ROUND(BL60,2)</f>
        <v>21.69</v>
      </c>
      <c r="D795" s="275">
        <f>ROUND(BL61,0)</f>
        <v>943149</v>
      </c>
      <c r="E795" s="275">
        <f>ROUND(BL62,0)</f>
        <v>412071</v>
      </c>
      <c r="F795" s="275">
        <f>ROUND(BL63,0)</f>
        <v>0</v>
      </c>
      <c r="G795" s="275">
        <f>ROUND(BL64,0)</f>
        <v>14900</v>
      </c>
      <c r="H795" s="275">
        <f>ROUND(BL65,0)</f>
        <v>84</v>
      </c>
      <c r="I795" s="275">
        <f>ROUND(BL66,0)</f>
        <v>38954</v>
      </c>
      <c r="J795" s="275">
        <f>ROUND(BL67,0)</f>
        <v>93964</v>
      </c>
      <c r="K795" s="275">
        <f>ROUND(BL68,0)</f>
        <v>8235</v>
      </c>
      <c r="L795" s="275">
        <f>ROUND(BL69,0)</f>
        <v>9476</v>
      </c>
      <c r="M795" s="275">
        <f>ROUND(BL70,0)</f>
        <v>0</v>
      </c>
      <c r="N795" s="275"/>
      <c r="O795" s="275"/>
      <c r="P795" s="275">
        <f>IF(BL76&gt;0,ROUND(BL76,0),0)</f>
        <v>2157</v>
      </c>
      <c r="Q795" s="275">
        <f>IF(BL77&gt;0,ROUND(BL77,0),0)</f>
        <v>0</v>
      </c>
      <c r="R795" s="275">
        <f>IF(BL78&gt;0,ROUND(BL78,0),0)</f>
        <v>2157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152*2017*8590*A</v>
      </c>
      <c r="B796" s="275"/>
      <c r="C796" s="277">
        <f>ROUND(BM60,2)</f>
        <v>1.98</v>
      </c>
      <c r="D796" s="275">
        <f>ROUND(BM61,0)</f>
        <v>90616</v>
      </c>
      <c r="E796" s="275">
        <f>ROUND(BM62,0)</f>
        <v>24065</v>
      </c>
      <c r="F796" s="275">
        <f>ROUND(BM63,0)</f>
        <v>0</v>
      </c>
      <c r="G796" s="275">
        <f>ROUND(BM64,0)</f>
        <v>1631</v>
      </c>
      <c r="H796" s="275">
        <f>ROUND(BM65,0)</f>
        <v>0</v>
      </c>
      <c r="I796" s="275">
        <f>ROUND(BM66,0)</f>
        <v>24247</v>
      </c>
      <c r="J796" s="275">
        <f>ROUND(BM67,0)</f>
        <v>23304</v>
      </c>
      <c r="K796" s="275">
        <f>ROUND(BM68,0)</f>
        <v>1787</v>
      </c>
      <c r="L796" s="275">
        <f>ROUND(BM69,0)</f>
        <v>5068</v>
      </c>
      <c r="M796" s="275">
        <f>ROUND(BM70,0)</f>
        <v>0</v>
      </c>
      <c r="N796" s="275"/>
      <c r="O796" s="275"/>
      <c r="P796" s="275">
        <f>IF(BM76&gt;0,ROUND(BM76,0),0)</f>
        <v>535</v>
      </c>
      <c r="Q796" s="275">
        <f>IF(BM77&gt;0,ROUND(BM77,0),0)</f>
        <v>0</v>
      </c>
      <c r="R796" s="275">
        <f>IF(BM78&gt;0,ROUND(BM78,0),0)</f>
        <v>535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152*2017*8610*A</v>
      </c>
      <c r="B797" s="275"/>
      <c r="C797" s="277">
        <f>ROUND(BN60,2)</f>
        <v>11.74</v>
      </c>
      <c r="D797" s="275">
        <f>ROUND(BN61,0)</f>
        <v>2174061</v>
      </c>
      <c r="E797" s="275">
        <f>ROUND(BN62,0)</f>
        <v>510827</v>
      </c>
      <c r="F797" s="275">
        <f>ROUND(BN63,0)</f>
        <v>140687</v>
      </c>
      <c r="G797" s="275">
        <f>ROUND(BN64,0)</f>
        <v>72470</v>
      </c>
      <c r="H797" s="275">
        <f>ROUND(BN65,0)</f>
        <v>1835</v>
      </c>
      <c r="I797" s="275">
        <f>ROUND(BN66,0)</f>
        <v>870133</v>
      </c>
      <c r="J797" s="275">
        <f>ROUND(BN67,0)</f>
        <v>212051</v>
      </c>
      <c r="K797" s="275">
        <f>ROUND(BN68,0)</f>
        <v>26177</v>
      </c>
      <c r="L797" s="275">
        <f>ROUND(BN69,0)</f>
        <v>438497</v>
      </c>
      <c r="M797" s="275">
        <f>ROUND(BN70,0)</f>
        <v>251735</v>
      </c>
      <c r="N797" s="275"/>
      <c r="O797" s="275"/>
      <c r="P797" s="275">
        <f>IF(BN76&gt;0,ROUND(BN76,0),0)</f>
        <v>4868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152*2017*8620*A</v>
      </c>
      <c r="B798" s="275"/>
      <c r="C798" s="277">
        <f>ROUND(BO60,2)</f>
        <v>1.97</v>
      </c>
      <c r="D798" s="275">
        <f>ROUND(BO61,0)</f>
        <v>137195</v>
      </c>
      <c r="E798" s="275">
        <f>ROUND(BO62,0)</f>
        <v>48531</v>
      </c>
      <c r="F798" s="275">
        <f>ROUND(BO63,0)</f>
        <v>0</v>
      </c>
      <c r="G798" s="275">
        <f>ROUND(BO64,0)</f>
        <v>25823</v>
      </c>
      <c r="H798" s="275">
        <f>ROUND(BO65,0)</f>
        <v>1501</v>
      </c>
      <c r="I798" s="275">
        <f>ROUND(BO66,0)</f>
        <v>16788</v>
      </c>
      <c r="J798" s="275">
        <f>ROUND(BO67,0)</f>
        <v>16996</v>
      </c>
      <c r="K798" s="275">
        <f>ROUND(BO68,0)</f>
        <v>2352</v>
      </c>
      <c r="L798" s="275">
        <f>ROUND(BO69,0)</f>
        <v>5077</v>
      </c>
      <c r="M798" s="275">
        <f>ROUND(BO70,0)</f>
        <v>45</v>
      </c>
      <c r="N798" s="275"/>
      <c r="O798" s="275"/>
      <c r="P798" s="275">
        <f>IF(BO76&gt;0,ROUND(BO76,0),0)</f>
        <v>390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152*2017*8630*A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180</v>
      </c>
      <c r="H799" s="275">
        <f>ROUND(BP65,0)</f>
        <v>0</v>
      </c>
      <c r="I799" s="275">
        <f>ROUND(BP66,0)</f>
        <v>406687</v>
      </c>
      <c r="J799" s="275">
        <f>ROUND(BP67,0)</f>
        <v>0</v>
      </c>
      <c r="K799" s="275">
        <f>ROUND(BP68,0)</f>
        <v>0</v>
      </c>
      <c r="L799" s="275">
        <f>ROUND(BP69,0)</f>
        <v>152861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152*2017*8640*A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152*2017*8650*A</v>
      </c>
      <c r="B801" s="275"/>
      <c r="C801" s="277">
        <f>ROUND(BR60,2)</f>
        <v>5.05</v>
      </c>
      <c r="D801" s="275">
        <f>ROUND(BR61,0)</f>
        <v>327791</v>
      </c>
      <c r="E801" s="275">
        <f>ROUND(BR62,0)</f>
        <v>89726</v>
      </c>
      <c r="F801" s="275">
        <f>ROUND(BR63,0)</f>
        <v>0</v>
      </c>
      <c r="G801" s="275">
        <f>ROUND(BR64,0)</f>
        <v>14585</v>
      </c>
      <c r="H801" s="275">
        <f>ROUND(BR65,0)</f>
        <v>84</v>
      </c>
      <c r="I801" s="275">
        <f>ROUND(BR66,0)</f>
        <v>163212</v>
      </c>
      <c r="J801" s="275">
        <f>ROUND(BR67,0)</f>
        <v>23966</v>
      </c>
      <c r="K801" s="275">
        <f>ROUND(BR68,0)</f>
        <v>4476</v>
      </c>
      <c r="L801" s="275">
        <f>ROUND(BR69,0)</f>
        <v>164269</v>
      </c>
      <c r="M801" s="275">
        <f>ROUND(BR70,0)</f>
        <v>151</v>
      </c>
      <c r="N801" s="275"/>
      <c r="O801" s="275"/>
      <c r="P801" s="275">
        <f>IF(BR76&gt;0,ROUND(BR76,0),0)</f>
        <v>550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152*2017*8660*A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152*2017*8670*A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152*2017*8680*A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152*2017*8690*A</v>
      </c>
      <c r="B805" s="275"/>
      <c r="C805" s="277">
        <f>ROUND(BV60,2)</f>
        <v>21.34</v>
      </c>
      <c r="D805" s="275">
        <f>ROUND(BV61,0)</f>
        <v>1111117</v>
      </c>
      <c r="E805" s="275">
        <f>ROUND(BV62,0)</f>
        <v>492710</v>
      </c>
      <c r="F805" s="275">
        <f>ROUND(BV63,0)</f>
        <v>0</v>
      </c>
      <c r="G805" s="275">
        <f>ROUND(BV64,0)</f>
        <v>15424</v>
      </c>
      <c r="H805" s="275">
        <f>ROUND(BV65,0)</f>
        <v>2705</v>
      </c>
      <c r="I805" s="275">
        <f>ROUND(BV66,0)</f>
        <v>349314</v>
      </c>
      <c r="J805" s="275">
        <f>ROUND(BV67,0)</f>
        <v>152306</v>
      </c>
      <c r="K805" s="275">
        <f>ROUND(BV68,0)</f>
        <v>13184</v>
      </c>
      <c r="L805" s="275">
        <f>ROUND(BV69,0)</f>
        <v>16792</v>
      </c>
      <c r="M805" s="275">
        <f>ROUND(BV70,0)</f>
        <v>41027</v>
      </c>
      <c r="N805" s="275"/>
      <c r="O805" s="275"/>
      <c r="P805" s="275">
        <f>IF(BV76&gt;0,ROUND(BV76,0),0)</f>
        <v>3497</v>
      </c>
      <c r="Q805" s="275">
        <f>IF(BV77&gt;0,ROUND(BV77,0),0)</f>
        <v>0</v>
      </c>
      <c r="R805" s="275">
        <f>IF(BV78&gt;0,ROUND(BV78,0),0)</f>
        <v>3497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152*2017*8700*A</v>
      </c>
      <c r="B806" s="275"/>
      <c r="C806" s="277">
        <f>ROUND(BW60,2)</f>
        <v>1.93</v>
      </c>
      <c r="D806" s="275">
        <f>ROUND(BW61,0)</f>
        <v>164578</v>
      </c>
      <c r="E806" s="275">
        <f>ROUND(BW62,0)</f>
        <v>56071</v>
      </c>
      <c r="F806" s="275">
        <f>ROUND(BW63,0)</f>
        <v>2626</v>
      </c>
      <c r="G806" s="275">
        <f>ROUND(BW64,0)</f>
        <v>5081</v>
      </c>
      <c r="H806" s="275">
        <f>ROUND(BW65,0)</f>
        <v>0</v>
      </c>
      <c r="I806" s="275">
        <f>ROUND(BW66,0)</f>
        <v>13287</v>
      </c>
      <c r="J806" s="275">
        <f>ROUND(BW67,0)</f>
        <v>44473</v>
      </c>
      <c r="K806" s="275">
        <f>ROUND(BW68,0)</f>
        <v>263</v>
      </c>
      <c r="L806" s="275">
        <f>ROUND(BW69,0)</f>
        <v>38682</v>
      </c>
      <c r="M806" s="275">
        <f>ROUND(BW70,0)</f>
        <v>450</v>
      </c>
      <c r="N806" s="275"/>
      <c r="O806" s="275"/>
      <c r="P806" s="275">
        <f>IF(BW76&gt;0,ROUND(BW76,0),0)</f>
        <v>1021</v>
      </c>
      <c r="Q806" s="275">
        <f>IF(BW77&gt;0,ROUND(BW77,0),0)</f>
        <v>2860</v>
      </c>
      <c r="R806" s="275">
        <f>IF(BW78&gt;0,ROUND(BW78,0),0)</f>
        <v>1021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152*2017*8710*A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152*2017*8720*A</v>
      </c>
      <c r="B808" s="275"/>
      <c r="C808" s="277">
        <f>ROUND(BY60,2)</f>
        <v>24.86</v>
      </c>
      <c r="D808" s="275">
        <f>ROUND(BY61,0)</f>
        <v>2472248</v>
      </c>
      <c r="E808" s="275">
        <f>ROUND(BY62,0)</f>
        <v>775186</v>
      </c>
      <c r="F808" s="275">
        <f>ROUND(BY63,0)</f>
        <v>0</v>
      </c>
      <c r="G808" s="275">
        <f>ROUND(BY64,0)</f>
        <v>20618</v>
      </c>
      <c r="H808" s="275">
        <f>ROUND(BY65,0)</f>
        <v>10910</v>
      </c>
      <c r="I808" s="275">
        <f>ROUND(BY66,0)</f>
        <v>224473</v>
      </c>
      <c r="J808" s="275">
        <f>ROUND(BY67,0)</f>
        <v>89120</v>
      </c>
      <c r="K808" s="275">
        <f>ROUND(BY68,0)</f>
        <v>6617</v>
      </c>
      <c r="L808" s="275">
        <f>ROUND(BY69,0)</f>
        <v>24027</v>
      </c>
      <c r="M808" s="275">
        <f>ROUND(BY70,0)</f>
        <v>0</v>
      </c>
      <c r="N808" s="275"/>
      <c r="O808" s="275"/>
      <c r="P808" s="275">
        <f>IF(BY76&gt;0,ROUND(BY76,0),0)</f>
        <v>2046</v>
      </c>
      <c r="Q808" s="275">
        <f>IF(BY77&gt;0,ROUND(BY77,0),0)</f>
        <v>0</v>
      </c>
      <c r="R808" s="275">
        <f>IF(BY78&gt;0,ROUND(BY78,0),0)</f>
        <v>2046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152*2017*8730*A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152*2017*8740*A</v>
      </c>
      <c r="B810" s="275"/>
      <c r="C810" s="277">
        <f>ROUND(CA60,2)</f>
        <v>2.13</v>
      </c>
      <c r="D810" s="275">
        <f>ROUND(CA61,0)</f>
        <v>195087</v>
      </c>
      <c r="E810" s="275">
        <f>ROUND(CA62,0)</f>
        <v>59576</v>
      </c>
      <c r="F810" s="275">
        <f>ROUND(CA63,0)</f>
        <v>0</v>
      </c>
      <c r="G810" s="275">
        <f>ROUND(CA64,0)</f>
        <v>9992</v>
      </c>
      <c r="H810" s="275">
        <f>ROUND(CA65,0)</f>
        <v>692</v>
      </c>
      <c r="I810" s="275">
        <f>ROUND(CA66,0)</f>
        <v>18628</v>
      </c>
      <c r="J810" s="275">
        <f>ROUND(CA67,0)</f>
        <v>45562</v>
      </c>
      <c r="K810" s="275">
        <f>ROUND(CA68,0)</f>
        <v>18224</v>
      </c>
      <c r="L810" s="275">
        <f>ROUND(CA69,0)</f>
        <v>20604</v>
      </c>
      <c r="M810" s="275">
        <f>ROUND(CA70,0)</f>
        <v>0</v>
      </c>
      <c r="N810" s="275"/>
      <c r="O810" s="275"/>
      <c r="P810" s="275">
        <f>IF(CA76&gt;0,ROUND(CA76,0),0)</f>
        <v>1046</v>
      </c>
      <c r="Q810" s="275">
        <f>IF(CA77&gt;0,ROUND(CA77,0),0)</f>
        <v>0</v>
      </c>
      <c r="R810" s="275">
        <f>IF(CA78&gt;0,ROUND(CA78,0),0)</f>
        <v>1046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152*2017*8770*A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152*2017*8790*A</v>
      </c>
      <c r="B812" s="275"/>
      <c r="C812" s="277">
        <f>ROUND(CC60,2)</f>
        <v>5.63</v>
      </c>
      <c r="D812" s="275">
        <f>ROUND(CC61,0)</f>
        <v>409739</v>
      </c>
      <c r="E812" s="275">
        <f>ROUND(CC62,0)</f>
        <v>144986</v>
      </c>
      <c r="F812" s="275">
        <f>ROUND(CC63,0)</f>
        <v>0</v>
      </c>
      <c r="G812" s="275">
        <f>ROUND(CC64,0)</f>
        <v>43174</v>
      </c>
      <c r="H812" s="275">
        <f>ROUND(CC65,0)</f>
        <v>2814</v>
      </c>
      <c r="I812" s="275">
        <f>ROUND(CC66,0)</f>
        <v>136236</v>
      </c>
      <c r="J812" s="275">
        <f>ROUND(CC67,0)</f>
        <v>139195</v>
      </c>
      <c r="K812" s="275">
        <f>ROUND(CC68,0)</f>
        <v>30925</v>
      </c>
      <c r="L812" s="275">
        <f>ROUND(CC69,0)</f>
        <v>86819</v>
      </c>
      <c r="M812" s="275">
        <f>ROUND(CC70,0)</f>
        <v>0</v>
      </c>
      <c r="N812" s="275"/>
      <c r="O812" s="275"/>
      <c r="P812" s="275">
        <f>IF(CC76&gt;0,ROUND(CC76,0),0)</f>
        <v>3196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152*2017*9000*A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2140798</v>
      </c>
      <c r="V813" s="276">
        <f>ROUND(CD70,0)</f>
        <v>1924031</v>
      </c>
      <c r="W813" s="275">
        <f>ROUND(CE72,0)</f>
        <v>2136980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8">SUM(C734:C813)</f>
        <v>568.54999999999995</v>
      </c>
      <c r="D815" s="276">
        <f t="shared" si="28"/>
        <v>46207589</v>
      </c>
      <c r="E815" s="276">
        <f t="shared" si="28"/>
        <v>14108473</v>
      </c>
      <c r="F815" s="276">
        <f t="shared" si="28"/>
        <v>4537390</v>
      </c>
      <c r="G815" s="276">
        <f t="shared" si="28"/>
        <v>11238916</v>
      </c>
      <c r="H815" s="276">
        <f t="shared" si="28"/>
        <v>947357</v>
      </c>
      <c r="I815" s="276">
        <f t="shared" si="28"/>
        <v>9113960</v>
      </c>
      <c r="J815" s="276">
        <f t="shared" si="28"/>
        <v>6656000</v>
      </c>
      <c r="K815" s="276">
        <f t="shared" si="28"/>
        <v>585248</v>
      </c>
      <c r="L815" s="276">
        <f>SUM(L734:L813)+SUM(U734:U813)</f>
        <v>3913660</v>
      </c>
      <c r="M815" s="276">
        <f>SUM(M734:M813)+SUM(V734:V813)</f>
        <v>6763004</v>
      </c>
      <c r="N815" s="276">
        <f t="shared" ref="N815:Y815" si="29">SUM(N734:N813)</f>
        <v>218892827</v>
      </c>
      <c r="O815" s="276">
        <f t="shared" si="29"/>
        <v>54727091</v>
      </c>
      <c r="P815" s="276">
        <f t="shared" si="29"/>
        <v>137649</v>
      </c>
      <c r="Q815" s="276">
        <f t="shared" si="29"/>
        <v>31999</v>
      </c>
      <c r="R815" s="276">
        <f t="shared" si="29"/>
        <v>88868</v>
      </c>
      <c r="S815" s="276">
        <f t="shared" si="29"/>
        <v>297804</v>
      </c>
      <c r="T815" s="280">
        <f t="shared" si="29"/>
        <v>137.17999999999998</v>
      </c>
      <c r="U815" s="276">
        <f t="shared" si="29"/>
        <v>2140798</v>
      </c>
      <c r="V815" s="276">
        <f t="shared" si="29"/>
        <v>1924031</v>
      </c>
      <c r="W815" s="276">
        <f t="shared" si="29"/>
        <v>2136980</v>
      </c>
      <c r="X815" s="276">
        <f t="shared" si="29"/>
        <v>0</v>
      </c>
      <c r="Y815" s="276">
        <f t="shared" si="29"/>
        <v>30008558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568.54999999999995</v>
      </c>
      <c r="D816" s="276">
        <f>CE61</f>
        <v>46207589</v>
      </c>
      <c r="E816" s="276">
        <f>CE62</f>
        <v>14108473</v>
      </c>
      <c r="F816" s="276">
        <f>CE63</f>
        <v>4537390</v>
      </c>
      <c r="G816" s="276">
        <f>CE64</f>
        <v>11238916</v>
      </c>
      <c r="H816" s="279">
        <f>CE65</f>
        <v>947357</v>
      </c>
      <c r="I816" s="279">
        <f>CE66</f>
        <v>9113960</v>
      </c>
      <c r="J816" s="279">
        <f>CE67</f>
        <v>6656000</v>
      </c>
      <c r="K816" s="279">
        <f>CE68</f>
        <v>585248</v>
      </c>
      <c r="L816" s="279">
        <f>CE69</f>
        <v>3913660</v>
      </c>
      <c r="M816" s="279">
        <f>CE70</f>
        <v>6763003.8499999996</v>
      </c>
      <c r="N816" s="276">
        <f>CE75</f>
        <v>218892827</v>
      </c>
      <c r="O816" s="276">
        <f>CE73</f>
        <v>54727091</v>
      </c>
      <c r="P816" s="276">
        <f>CE76</f>
        <v>137649.4</v>
      </c>
      <c r="Q816" s="276">
        <f>CE77</f>
        <v>31999.969999999998</v>
      </c>
      <c r="R816" s="276">
        <f>CE78</f>
        <v>88868</v>
      </c>
      <c r="S816" s="276">
        <f>CE79</f>
        <v>297804</v>
      </c>
      <c r="T816" s="280">
        <f>CE80</f>
        <v>137.17999999999998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30008557.149999999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46207589</v>
      </c>
      <c r="E817" s="180">
        <f>C379</f>
        <v>14108473</v>
      </c>
      <c r="F817" s="180">
        <f>C380</f>
        <v>4537390</v>
      </c>
      <c r="G817" s="240">
        <f>C381</f>
        <v>11238916</v>
      </c>
      <c r="H817" s="240">
        <f>C382</f>
        <v>947357</v>
      </c>
      <c r="I817" s="240">
        <f>C383</f>
        <v>9113960</v>
      </c>
      <c r="J817" s="240">
        <f>C384</f>
        <v>6655982</v>
      </c>
      <c r="K817" s="240">
        <f>C385</f>
        <v>585248</v>
      </c>
      <c r="L817" s="240">
        <f>C386+C387+C388+C389</f>
        <v>3913660</v>
      </c>
      <c r="M817" s="240">
        <f>C370</f>
        <v>6763004</v>
      </c>
      <c r="N817" s="180">
        <f>D361</f>
        <v>218892827</v>
      </c>
      <c r="O817" s="180">
        <f>C359</f>
        <v>54727091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29" sqref="I29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Public Hospital District No 1 of Mason County, WA, DBA Mason General Hospital and Family of Clinics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H-152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901 Mountain View Drive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901 Mountain View Drive, PO Box 1668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Shelton, WA 98584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C21" sqref="C21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H-152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Public Hospital District No 1 of Mason County, WA, DBA Mason General Hospital and Family of Clinics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Mason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Eric Moll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Rick Smith, CPA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Gayle Weston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360-432-7721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360-427-1921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1423</v>
      </c>
      <c r="G23" s="21">
        <f>data!D111</f>
        <v>4190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255</v>
      </c>
      <c r="G26" s="13">
        <f>data!D114</f>
        <v>520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7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2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68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D7" sqref="D7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Public Hospital District No 1 of Mason County, WA, DBA Mason General Hospital and Family of Clinics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779</v>
      </c>
      <c r="C7" s="48">
        <f>data!B139</f>
        <v>2497</v>
      </c>
      <c r="D7" s="48">
        <f>data!B140</f>
        <v>74285</v>
      </c>
      <c r="E7" s="48">
        <f>data!B141</f>
        <v>26983899</v>
      </c>
      <c r="F7" s="48">
        <f>data!B142</f>
        <v>73289195</v>
      </c>
      <c r="G7" s="48">
        <f>data!B141+data!B142</f>
        <v>100273094</v>
      </c>
    </row>
    <row r="8" spans="1:13" ht="20.100000000000001" customHeight="1" x14ac:dyDescent="0.25">
      <c r="A8" s="23" t="s">
        <v>297</v>
      </c>
      <c r="B8" s="48">
        <f>data!C138</f>
        <v>396</v>
      </c>
      <c r="C8" s="48">
        <f>data!C139</f>
        <v>1065</v>
      </c>
      <c r="D8" s="48">
        <f>data!C140</f>
        <v>58612</v>
      </c>
      <c r="E8" s="48">
        <f>data!C141</f>
        <v>13553504</v>
      </c>
      <c r="F8" s="48">
        <f>data!C142</f>
        <v>50580747</v>
      </c>
      <c r="G8" s="48">
        <f>data!C141+data!C142</f>
        <v>64134251</v>
      </c>
    </row>
    <row r="9" spans="1:13" ht="20.100000000000001" customHeight="1" x14ac:dyDescent="0.25">
      <c r="A9" s="23" t="s">
        <v>1058</v>
      </c>
      <c r="B9" s="48">
        <f>data!D138</f>
        <v>248</v>
      </c>
      <c r="C9" s="48">
        <f>data!D139</f>
        <v>628</v>
      </c>
      <c r="D9" s="48">
        <f>data!D140</f>
        <v>53587</v>
      </c>
      <c r="E9" s="48">
        <f>data!D141</f>
        <v>9049351</v>
      </c>
      <c r="F9" s="48">
        <f>data!D142</f>
        <v>49425942</v>
      </c>
      <c r="G9" s="48">
        <f>data!D141+data!D142</f>
        <v>58475293</v>
      </c>
    </row>
    <row r="10" spans="1:13" ht="20.100000000000001" customHeight="1" x14ac:dyDescent="0.25">
      <c r="A10" s="111" t="s">
        <v>203</v>
      </c>
      <c r="B10" s="48">
        <f>data!E138</f>
        <v>1423</v>
      </c>
      <c r="C10" s="48">
        <f>data!E139</f>
        <v>4190</v>
      </c>
      <c r="D10" s="48">
        <f>data!E140</f>
        <v>186484</v>
      </c>
      <c r="E10" s="48">
        <f>data!E141</f>
        <v>49586754</v>
      </c>
      <c r="F10" s="48">
        <f>data!E142</f>
        <v>173295884</v>
      </c>
      <c r="G10" s="48">
        <f>data!E141+data!E142</f>
        <v>222882638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6564661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2318520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Public Hospital District No 1 of Mason County, WA, DBA Mason General Hospital and Family of Clinics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3286524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110526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421164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7080502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102493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2413934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44966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13460109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166983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568839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735822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388146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234610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622756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627132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627132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891551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891551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Public Hospital District No 1 of Mason County, WA, DBA Mason General Hospital and Family of Clinics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2015497</v>
      </c>
      <c r="D7" s="21">
        <f>data!C195</f>
        <v>0</v>
      </c>
      <c r="E7" s="21">
        <f>data!D195</f>
        <v>0</v>
      </c>
      <c r="F7" s="21">
        <f>data!E195</f>
        <v>2015497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2729456</v>
      </c>
      <c r="D8" s="21">
        <f>data!C196</f>
        <v>0</v>
      </c>
      <c r="E8" s="21">
        <f>data!D196</f>
        <v>0</v>
      </c>
      <c r="F8" s="21">
        <f>data!E196</f>
        <v>2729456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36186805</v>
      </c>
      <c r="D9" s="21">
        <f>data!C197</f>
        <v>30140</v>
      </c>
      <c r="E9" s="21">
        <f>data!D197</f>
        <v>183030</v>
      </c>
      <c r="F9" s="21">
        <f>data!E197</f>
        <v>36033915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21292736</v>
      </c>
      <c r="D10" s="21">
        <f>data!C198</f>
        <v>11932</v>
      </c>
      <c r="E10" s="21">
        <f>data!D198</f>
        <v>0</v>
      </c>
      <c r="F10" s="21">
        <f>data!E198</f>
        <v>21304668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1613835</v>
      </c>
      <c r="D11" s="21">
        <f>data!C199</f>
        <v>137101</v>
      </c>
      <c r="E11" s="21">
        <f>data!D199</f>
        <v>0</v>
      </c>
      <c r="F11" s="21">
        <f>data!E199</f>
        <v>1750936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32697075</v>
      </c>
      <c r="D12" s="21">
        <f>data!C200</f>
        <v>1690705</v>
      </c>
      <c r="E12" s="21">
        <f>data!D200</f>
        <v>539904</v>
      </c>
      <c r="F12" s="21">
        <f>data!E200</f>
        <v>33847876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42847</v>
      </c>
      <c r="D14" s="21">
        <f>data!C202</f>
        <v>1107868</v>
      </c>
      <c r="E14" s="21">
        <f>data!D202</f>
        <v>0</v>
      </c>
      <c r="F14" s="21">
        <f>data!E202</f>
        <v>1150715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1791507</v>
      </c>
      <c r="D15" s="21">
        <f>data!C203</f>
        <v>6953601</v>
      </c>
      <c r="E15" s="21">
        <f>data!D203</f>
        <v>2589652</v>
      </c>
      <c r="F15" s="21">
        <f>data!E203</f>
        <v>6155456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98369758</v>
      </c>
      <c r="D16" s="21">
        <f>data!C204</f>
        <v>9931347</v>
      </c>
      <c r="E16" s="21">
        <f>data!D204</f>
        <v>3312586</v>
      </c>
      <c r="F16" s="21">
        <f>data!E204</f>
        <v>104988519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1549494</v>
      </c>
      <c r="D24" s="21">
        <f>data!C209</f>
        <v>180429</v>
      </c>
      <c r="E24" s="21">
        <f>data!D209</f>
        <v>0</v>
      </c>
      <c r="F24" s="21">
        <f>data!E209</f>
        <v>1729923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16339971</v>
      </c>
      <c r="D25" s="21">
        <f>data!C210</f>
        <v>1516542</v>
      </c>
      <c r="E25" s="21">
        <f>data!D210</f>
        <v>183030</v>
      </c>
      <c r="F25" s="21">
        <f>data!E210</f>
        <v>17673483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8461727</v>
      </c>
      <c r="D26" s="21">
        <f>data!C211</f>
        <v>1283505</v>
      </c>
      <c r="E26" s="21">
        <f>data!D211</f>
        <v>0</v>
      </c>
      <c r="F26" s="21">
        <f>data!E211</f>
        <v>9745232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1393981</v>
      </c>
      <c r="D27" s="21">
        <f>data!C212</f>
        <v>208258</v>
      </c>
      <c r="E27" s="21">
        <f>data!D212</f>
        <v>0</v>
      </c>
      <c r="F27" s="21">
        <f>data!E212</f>
        <v>1602239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24945845</v>
      </c>
      <c r="D28" s="21">
        <f>data!C213</f>
        <v>3212590</v>
      </c>
      <c r="E28" s="21">
        <f>data!D213</f>
        <v>533471</v>
      </c>
      <c r="F28" s="21">
        <f>data!E213</f>
        <v>27624964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36777</v>
      </c>
      <c r="D30" s="21">
        <f>data!C215</f>
        <v>87845</v>
      </c>
      <c r="E30" s="21">
        <f>data!D215</f>
        <v>0</v>
      </c>
      <c r="F30" s="21">
        <f>data!E215</f>
        <v>124622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52727795</v>
      </c>
      <c r="D32" s="21">
        <f>data!C217</f>
        <v>6489169</v>
      </c>
      <c r="E32" s="21">
        <f>data!D217</f>
        <v>716501</v>
      </c>
      <c r="F32" s="21">
        <f>data!E217</f>
        <v>58500463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C33" sqref="C3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Public Hospital District No 1 of Mason County, WA, DBA Mason General Hospital and Family of Clinics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4316744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59370627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40145711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2076846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18711831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120305015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1768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213713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3262545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3476258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2210751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130308768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A38" sqref="A38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Public Hospital District No 1 of Mason County, WA, DBA Mason General Hospital and Family of Clinics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56226117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30542112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18852253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1502810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621191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1488522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1143040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72671539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37039468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37039468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2015497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2729456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36033915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21304669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1750935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33847876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1150715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6155456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104988519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58500463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46488056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156199063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Public Hospital District No 1 of Mason County, WA, DBA Mason General Hospital and Family of Clinics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2907709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10190742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3130705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238638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975000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17442794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291092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291092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57943834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57943834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975000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56968834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81496343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81496343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156199063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Public Hospital District No 1 of Mason County, WA, DBA Mason General Hospital and Family of Clinics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49586754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173295881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222882635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4316744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120305016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3476258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2210751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130308769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92573866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8159192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2215600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10374792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102948658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48797794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13460108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4300805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11855296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1033970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9462831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6489169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735822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622757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627132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891551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1753107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100030342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2918316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972987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3891303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3891303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C23" sqref="C23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Public Hospital District No 1 of Mason County, WA, DBA Mason General Hospital and Family of Clinics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899</v>
      </c>
      <c r="D9" s="14">
        <f>data!D59</f>
        <v>0</v>
      </c>
      <c r="E9" s="14">
        <f>data!E59</f>
        <v>3291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18.5</v>
      </c>
      <c r="D10" s="26">
        <f>data!D60</f>
        <v>0</v>
      </c>
      <c r="E10" s="26">
        <f>data!E60</f>
        <v>49.029999999999994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1824438</v>
      </c>
      <c r="D11" s="14">
        <f>data!D61</f>
        <v>0</v>
      </c>
      <c r="E11" s="14">
        <f>data!E61</f>
        <v>4887238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485665</v>
      </c>
      <c r="D12" s="14">
        <f>data!D62</f>
        <v>0</v>
      </c>
      <c r="E12" s="14">
        <f>data!E62</f>
        <v>1264561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101915</v>
      </c>
      <c r="D13" s="14">
        <f>data!D63</f>
        <v>0</v>
      </c>
      <c r="E13" s="14">
        <f>data!E63</f>
        <v>100097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147711</v>
      </c>
      <c r="D14" s="14">
        <f>data!D64</f>
        <v>0</v>
      </c>
      <c r="E14" s="14">
        <f>data!E64</f>
        <v>138744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1852</v>
      </c>
      <c r="D15" s="14">
        <f>data!D65</f>
        <v>0</v>
      </c>
      <c r="E15" s="14">
        <f>data!E65</f>
        <v>1389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8557</v>
      </c>
      <c r="D16" s="14">
        <f>data!D66</f>
        <v>0</v>
      </c>
      <c r="E16" s="14">
        <f>data!E66</f>
        <v>427347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203212</v>
      </c>
      <c r="D17" s="14">
        <f>data!D67</f>
        <v>0</v>
      </c>
      <c r="E17" s="14">
        <f>data!E67</f>
        <v>600265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3083</v>
      </c>
      <c r="D18" s="14">
        <f>data!D68</f>
        <v>0</v>
      </c>
      <c r="E18" s="14">
        <f>data!E68</f>
        <v>7707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452</v>
      </c>
      <c r="D19" s="14">
        <f>data!D69</f>
        <v>0</v>
      </c>
      <c r="E19" s="14">
        <f>data!E69</f>
        <v>25731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2776885</v>
      </c>
      <c r="D21" s="14">
        <f>data!D71</f>
        <v>0</v>
      </c>
      <c r="E21" s="14">
        <f>data!E71</f>
        <v>7453079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2050431</v>
      </c>
      <c r="D23" s="48">
        <f>+data!M669</f>
        <v>0</v>
      </c>
      <c r="E23" s="48">
        <f>+data!M670</f>
        <v>5203545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8200623</v>
      </c>
      <c r="D24" s="14">
        <f>data!D73</f>
        <v>0</v>
      </c>
      <c r="E24" s="14">
        <f>data!E73</f>
        <v>14603312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1721301</v>
      </c>
      <c r="D25" s="14">
        <f>data!D74</f>
        <v>0</v>
      </c>
      <c r="E25" s="14">
        <f>data!E74</f>
        <v>3769313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9921924</v>
      </c>
      <c r="D26" s="14">
        <f>data!D75</f>
        <v>0</v>
      </c>
      <c r="E26" s="14">
        <f>data!E75</f>
        <v>18372625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6509.73</v>
      </c>
      <c r="D28" s="14">
        <f>data!D76</f>
        <v>0</v>
      </c>
      <c r="E28" s="14">
        <f>data!E76</f>
        <v>19228.939999999999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4914</v>
      </c>
      <c r="D29" s="14">
        <f>data!D77</f>
        <v>0</v>
      </c>
      <c r="E29" s="14">
        <f>data!E77</f>
        <v>16849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6509.73</v>
      </c>
      <c r="D30" s="14">
        <f>data!D78</f>
        <v>0</v>
      </c>
      <c r="E30" s="14">
        <f>data!E78</f>
        <v>19228.939999999999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36140</v>
      </c>
      <c r="D31" s="14">
        <f>data!D79</f>
        <v>0</v>
      </c>
      <c r="E31" s="14">
        <f>data!E79</f>
        <v>61406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18.5</v>
      </c>
      <c r="D32" s="84">
        <f>data!D80</f>
        <v>0</v>
      </c>
      <c r="E32" s="84">
        <f>data!E80</f>
        <v>49.029999999999994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Public Hospital District No 1 of Mason County, WA, DBA Mason General Hospital and Family of Clinics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582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747</v>
      </c>
      <c r="I41" s="14">
        <f>data!P59</f>
        <v>109409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19.409999999999997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1404480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450108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31429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24966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57725</v>
      </c>
      <c r="I46" s="14">
        <f>data!P64</f>
        <v>655273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3506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19404</v>
      </c>
      <c r="I48" s="14">
        <f>data!P66</f>
        <v>182002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15028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30394</v>
      </c>
      <c r="I49" s="14">
        <f>data!P67</f>
        <v>204689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3592</v>
      </c>
      <c r="I50" s="14">
        <f>data!P68</f>
        <v>191294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2242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3402</v>
      </c>
      <c r="I51" s="14">
        <f>data!P69</f>
        <v>8062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45742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114517</v>
      </c>
      <c r="I53" s="14">
        <f>data!P71</f>
        <v>3127337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79537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228129</v>
      </c>
      <c r="I55" s="48">
        <f>+data!M681</f>
        <v>2114066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914225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1954161</v>
      </c>
      <c r="I56" s="14">
        <f>data!P73</f>
        <v>3783983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109702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554514</v>
      </c>
      <c r="I57" s="14">
        <f>data!P74</f>
        <v>9528722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1023927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2508675</v>
      </c>
      <c r="I58" s="14">
        <f>data!P75</f>
        <v>13312705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481.41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973.64</v>
      </c>
      <c r="I60" s="14">
        <f>data!P76</f>
        <v>6557.0400000000009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850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481.41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973.64</v>
      </c>
      <c r="I62" s="14">
        <f>data!P78</f>
        <v>6557.0400000000009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28267</v>
      </c>
      <c r="I63" s="14">
        <f>data!P79</f>
        <v>36907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19.409999999999997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Public Hospital District No 1 of Mason County, WA, DBA Mason General Hospital and Family of Clinics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117610</v>
      </c>
      <c r="D73" s="48">
        <f>data!R59</f>
        <v>109409</v>
      </c>
      <c r="E73" s="212"/>
      <c r="F73" s="212"/>
      <c r="G73" s="14">
        <f>data!U59</f>
        <v>204576</v>
      </c>
      <c r="H73" s="14">
        <f>data!V59</f>
        <v>0</v>
      </c>
      <c r="I73" s="14">
        <f>data!W59</f>
        <v>1833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13.47</v>
      </c>
      <c r="D74" s="26">
        <f>data!R60</f>
        <v>5.2</v>
      </c>
      <c r="E74" s="26">
        <f>data!S60</f>
        <v>0</v>
      </c>
      <c r="F74" s="26">
        <f>data!T60</f>
        <v>0</v>
      </c>
      <c r="G74" s="26">
        <f>data!U60</f>
        <v>26.11</v>
      </c>
      <c r="H74" s="26">
        <f>data!V60</f>
        <v>0</v>
      </c>
      <c r="I74" s="26">
        <f>data!W60</f>
        <v>1.61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1158389</v>
      </c>
      <c r="D75" s="14">
        <f>data!R61</f>
        <v>916014</v>
      </c>
      <c r="E75" s="14">
        <f>data!S61</f>
        <v>0</v>
      </c>
      <c r="F75" s="14">
        <f>data!T61</f>
        <v>0</v>
      </c>
      <c r="G75" s="14">
        <f>data!U61</f>
        <v>1693842</v>
      </c>
      <c r="H75" s="14">
        <f>data!V61</f>
        <v>0</v>
      </c>
      <c r="I75" s="14">
        <f>data!W61</f>
        <v>162160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350396</v>
      </c>
      <c r="D76" s="14">
        <f>data!R62</f>
        <v>206085</v>
      </c>
      <c r="E76" s="14">
        <f>data!S62</f>
        <v>0</v>
      </c>
      <c r="F76" s="14">
        <f>data!T62</f>
        <v>0</v>
      </c>
      <c r="G76" s="14">
        <f>data!U62</f>
        <v>475178</v>
      </c>
      <c r="H76" s="14">
        <f>data!V62</f>
        <v>0</v>
      </c>
      <c r="I76" s="14">
        <f>data!W62</f>
        <v>55186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1040</v>
      </c>
      <c r="E77" s="14">
        <f>data!S63</f>
        <v>0</v>
      </c>
      <c r="F77" s="14">
        <f>data!T63</f>
        <v>0</v>
      </c>
      <c r="G77" s="14">
        <f>data!U63</f>
        <v>8145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90810</v>
      </c>
      <c r="D78" s="14">
        <f>data!R64</f>
        <v>62908</v>
      </c>
      <c r="E78" s="14">
        <f>data!S64</f>
        <v>3620942</v>
      </c>
      <c r="F78" s="14">
        <f>data!T64</f>
        <v>0</v>
      </c>
      <c r="G78" s="14">
        <f>data!U64</f>
        <v>1467300</v>
      </c>
      <c r="H78" s="14">
        <f>data!V64</f>
        <v>0</v>
      </c>
      <c r="I78" s="14">
        <f>data!W64</f>
        <v>14363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970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4675</v>
      </c>
      <c r="D80" s="14">
        <f>data!R66</f>
        <v>62643</v>
      </c>
      <c r="E80" s="14">
        <f>data!S66</f>
        <v>0</v>
      </c>
      <c r="F80" s="14">
        <f>data!T66</f>
        <v>0</v>
      </c>
      <c r="G80" s="14">
        <f>data!U66</f>
        <v>831247</v>
      </c>
      <c r="H80" s="14">
        <f>data!V66</f>
        <v>0</v>
      </c>
      <c r="I80" s="14">
        <f>data!W66</f>
        <v>148629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225944</v>
      </c>
      <c r="D81" s="14">
        <f>data!R67</f>
        <v>9715</v>
      </c>
      <c r="E81" s="14">
        <f>data!S67</f>
        <v>92607</v>
      </c>
      <c r="F81" s="14">
        <f>data!T67</f>
        <v>0</v>
      </c>
      <c r="G81" s="14">
        <f>data!U67</f>
        <v>129482</v>
      </c>
      <c r="H81" s="14">
        <f>data!V67</f>
        <v>0</v>
      </c>
      <c r="I81" s="14">
        <f>data!W67</f>
        <v>66639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4699</v>
      </c>
      <c r="D82" s="14">
        <f>data!R68</f>
        <v>1568</v>
      </c>
      <c r="E82" s="14">
        <f>data!S68</f>
        <v>15654</v>
      </c>
      <c r="F82" s="14">
        <f>data!T68</f>
        <v>0</v>
      </c>
      <c r="G82" s="14">
        <f>data!U68</f>
        <v>13867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3436</v>
      </c>
      <c r="D83" s="14">
        <f>data!R69</f>
        <v>15201</v>
      </c>
      <c r="E83" s="14">
        <f>data!S69</f>
        <v>0</v>
      </c>
      <c r="F83" s="14">
        <f>data!T69</f>
        <v>0</v>
      </c>
      <c r="G83" s="14">
        <f>data!U69</f>
        <v>7086</v>
      </c>
      <c r="H83" s="14">
        <f>data!V69</f>
        <v>0</v>
      </c>
      <c r="I83" s="14">
        <f>data!W69</f>
        <v>2126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-1461556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1838349</v>
      </c>
      <c r="D85" s="14">
        <f>data!R71</f>
        <v>-186382</v>
      </c>
      <c r="E85" s="14">
        <f>data!S71</f>
        <v>3729203</v>
      </c>
      <c r="F85" s="14">
        <f>data!T71</f>
        <v>0</v>
      </c>
      <c r="G85" s="14">
        <f>data!U71</f>
        <v>4627117</v>
      </c>
      <c r="H85" s="14">
        <f>data!V71</f>
        <v>0</v>
      </c>
      <c r="I85" s="14">
        <f>data!W71</f>
        <v>449103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1230538</v>
      </c>
      <c r="D87" s="48">
        <f>+data!M683</f>
        <v>290456</v>
      </c>
      <c r="E87" s="48">
        <f>+data!M684</f>
        <v>989181</v>
      </c>
      <c r="F87" s="48">
        <f>+data!M685</f>
        <v>0</v>
      </c>
      <c r="G87" s="48">
        <f>+data!M686</f>
        <v>2283911</v>
      </c>
      <c r="H87" s="48">
        <f>+data!M687</f>
        <v>0</v>
      </c>
      <c r="I87" s="48">
        <f>+data!M688</f>
        <v>499974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976104</v>
      </c>
      <c r="D88" s="14">
        <f>data!R73</f>
        <v>581485</v>
      </c>
      <c r="E88" s="14">
        <f>data!S73</f>
        <v>2912903</v>
      </c>
      <c r="F88" s="14">
        <f>data!T73</f>
        <v>0</v>
      </c>
      <c r="G88" s="14">
        <f>data!U73</f>
        <v>3561284</v>
      </c>
      <c r="H88" s="14">
        <f>data!V73</f>
        <v>0</v>
      </c>
      <c r="I88" s="14">
        <f>data!W73</f>
        <v>395854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4139979</v>
      </c>
      <c r="D89" s="14">
        <f>data!R74</f>
        <v>1183322</v>
      </c>
      <c r="E89" s="14">
        <f>data!S74</f>
        <v>2994057</v>
      </c>
      <c r="F89" s="14">
        <f>data!T74</f>
        <v>0</v>
      </c>
      <c r="G89" s="14">
        <f>data!U74</f>
        <v>23302925</v>
      </c>
      <c r="H89" s="14">
        <f>data!V74</f>
        <v>0</v>
      </c>
      <c r="I89" s="14">
        <f>data!W74</f>
        <v>6354917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5116083</v>
      </c>
      <c r="D90" s="14">
        <f>data!R75</f>
        <v>1764807</v>
      </c>
      <c r="E90" s="14">
        <f>data!S75</f>
        <v>5906960</v>
      </c>
      <c r="F90" s="14">
        <f>data!T75</f>
        <v>0</v>
      </c>
      <c r="G90" s="14">
        <f>data!U75</f>
        <v>26864209</v>
      </c>
      <c r="H90" s="14">
        <f>data!V75</f>
        <v>0</v>
      </c>
      <c r="I90" s="14">
        <f>data!W75</f>
        <v>6750771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7237.91</v>
      </c>
      <c r="D92" s="14">
        <f>data!R76</f>
        <v>311.2</v>
      </c>
      <c r="E92" s="14">
        <f>data!S76</f>
        <v>2966.57</v>
      </c>
      <c r="F92" s="14">
        <f>data!T76</f>
        <v>0</v>
      </c>
      <c r="G92" s="14">
        <f>data!U76</f>
        <v>4147.83</v>
      </c>
      <c r="H92" s="14">
        <f>data!V76</f>
        <v>0</v>
      </c>
      <c r="I92" s="14">
        <f>data!W76</f>
        <v>2134.71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7237.91</v>
      </c>
      <c r="D94" s="14">
        <f>data!R78</f>
        <v>311.2</v>
      </c>
      <c r="E94" s="14">
        <f>data!S78</f>
        <v>2966.57</v>
      </c>
      <c r="F94" s="14">
        <f>data!T78</f>
        <v>0</v>
      </c>
      <c r="G94" s="14">
        <f>data!U78</f>
        <v>4147.83</v>
      </c>
      <c r="H94" s="14">
        <f>data!V78</f>
        <v>0</v>
      </c>
      <c r="I94" s="14">
        <f>data!W78</f>
        <v>2134.71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25759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28656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13.47</v>
      </c>
      <c r="D96" s="84">
        <f>data!R80</f>
        <v>5.2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Public Hospital District No 1 of Mason County, WA, DBA Mason General Hospital and Family of Clinics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26503</v>
      </c>
      <c r="D105" s="14">
        <f>data!Y59</f>
        <v>36371</v>
      </c>
      <c r="E105" s="14">
        <f>data!Z59</f>
        <v>0</v>
      </c>
      <c r="F105" s="14">
        <f>data!AA59</f>
        <v>0</v>
      </c>
      <c r="G105" s="212"/>
      <c r="H105" s="14">
        <f>data!AC59</f>
        <v>6206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4.0199999999999996</v>
      </c>
      <c r="D106" s="26">
        <f>data!Y60</f>
        <v>21.37</v>
      </c>
      <c r="E106" s="26">
        <f>data!Z60</f>
        <v>0</v>
      </c>
      <c r="F106" s="26">
        <f>data!AA60</f>
        <v>1.01</v>
      </c>
      <c r="G106" s="26">
        <f>data!AB60</f>
        <v>14.239999999999998</v>
      </c>
      <c r="H106" s="26">
        <f>data!AC60</f>
        <v>8.99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405120</v>
      </c>
      <c r="D107" s="14">
        <f>data!Y61</f>
        <v>1745932</v>
      </c>
      <c r="E107" s="14">
        <f>data!Z61</f>
        <v>0</v>
      </c>
      <c r="F107" s="14">
        <f>data!AA61</f>
        <v>101250</v>
      </c>
      <c r="G107" s="14">
        <f>data!AB61</f>
        <v>1468528</v>
      </c>
      <c r="H107" s="14">
        <f>data!AC61</f>
        <v>779345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110347</v>
      </c>
      <c r="D108" s="14">
        <f>data!Y62</f>
        <v>489542</v>
      </c>
      <c r="E108" s="14">
        <f>data!Z62</f>
        <v>0</v>
      </c>
      <c r="F108" s="14">
        <f>data!AA62</f>
        <v>28331</v>
      </c>
      <c r="G108" s="14">
        <f>data!AB62</f>
        <v>406806</v>
      </c>
      <c r="H108" s="14">
        <f>data!AC62</f>
        <v>247454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96402</v>
      </c>
      <c r="D110" s="14">
        <f>data!Y64</f>
        <v>110464</v>
      </c>
      <c r="E110" s="14">
        <f>data!Z64</f>
        <v>0</v>
      </c>
      <c r="F110" s="14">
        <f>data!AA64</f>
        <v>31128</v>
      </c>
      <c r="G110" s="14">
        <f>data!AB64</f>
        <v>2431817</v>
      </c>
      <c r="H110" s="14">
        <f>data!AC64</f>
        <v>48081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695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138183</v>
      </c>
      <c r="D112" s="14">
        <f>data!Y66</f>
        <v>543080</v>
      </c>
      <c r="E112" s="14">
        <f>data!Z66</f>
        <v>0</v>
      </c>
      <c r="F112" s="14">
        <f>data!AA66</f>
        <v>25486</v>
      </c>
      <c r="G112" s="14">
        <f>data!AB66</f>
        <v>318226</v>
      </c>
      <c r="H112" s="14">
        <f>data!AC66</f>
        <v>29083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24682</v>
      </c>
      <c r="D113" s="14">
        <f>data!Y67</f>
        <v>166158</v>
      </c>
      <c r="E113" s="14">
        <f>data!Z67</f>
        <v>0</v>
      </c>
      <c r="F113" s="14">
        <f>data!AA67</f>
        <v>21517</v>
      </c>
      <c r="G113" s="14">
        <f>data!AB67</f>
        <v>56662</v>
      </c>
      <c r="H113" s="14">
        <f>data!AC67</f>
        <v>25113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7233</v>
      </c>
      <c r="E114" s="14">
        <f>data!Z68</f>
        <v>0</v>
      </c>
      <c r="F114" s="14">
        <f>data!AA68</f>
        <v>0</v>
      </c>
      <c r="G114" s="14">
        <f>data!AB68</f>
        <v>41</v>
      </c>
      <c r="H114" s="14">
        <f>data!AC68</f>
        <v>15372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1300</v>
      </c>
      <c r="D115" s="14">
        <f>data!Y69</f>
        <v>13896</v>
      </c>
      <c r="E115" s="14">
        <f>data!Z69</f>
        <v>0</v>
      </c>
      <c r="F115" s="14">
        <f>data!AA69</f>
        <v>6608</v>
      </c>
      <c r="G115" s="14">
        <f>data!AB69</f>
        <v>16863</v>
      </c>
      <c r="H115" s="14">
        <f>data!AC69</f>
        <v>194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-3956979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776034</v>
      </c>
      <c r="D117" s="14">
        <f>data!Y71</f>
        <v>3077000</v>
      </c>
      <c r="E117" s="14">
        <f>data!Z71</f>
        <v>0</v>
      </c>
      <c r="F117" s="14">
        <f>data!AA71</f>
        <v>214320</v>
      </c>
      <c r="G117" s="14">
        <f>data!AB71</f>
        <v>741964</v>
      </c>
      <c r="H117" s="14">
        <f>data!AC71</f>
        <v>1144642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1356230</v>
      </c>
      <c r="D119" s="48">
        <f>+data!M690</f>
        <v>1581319</v>
      </c>
      <c r="E119" s="48">
        <f>+data!M691</f>
        <v>0</v>
      </c>
      <c r="F119" s="48">
        <f>+data!M692</f>
        <v>94736</v>
      </c>
      <c r="G119" s="48">
        <f>+data!M693</f>
        <v>782399</v>
      </c>
      <c r="H119" s="48">
        <f>+data!M694</f>
        <v>514158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1653078</v>
      </c>
      <c r="D120" s="14">
        <f>data!Y73</f>
        <v>1726639</v>
      </c>
      <c r="E120" s="14">
        <f>data!Z73</f>
        <v>0</v>
      </c>
      <c r="F120" s="14">
        <f>data!AA73</f>
        <v>73665</v>
      </c>
      <c r="G120" s="14">
        <f>data!AB73</f>
        <v>2683433</v>
      </c>
      <c r="H120" s="14">
        <f>data!AC73</f>
        <v>3533670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20072626</v>
      </c>
      <c r="D121" s="14">
        <f>data!Y74</f>
        <v>17018081</v>
      </c>
      <c r="E121" s="14">
        <f>data!Z74</f>
        <v>0</v>
      </c>
      <c r="F121" s="14">
        <f>data!AA74</f>
        <v>783343</v>
      </c>
      <c r="G121" s="14">
        <f>data!AB74</f>
        <v>5652683</v>
      </c>
      <c r="H121" s="14">
        <f>data!AC74</f>
        <v>2742776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21725704</v>
      </c>
      <c r="D122" s="14">
        <f>data!Y75</f>
        <v>18744720</v>
      </c>
      <c r="E122" s="14">
        <f>data!Z75</f>
        <v>0</v>
      </c>
      <c r="F122" s="14">
        <f>data!AA75</f>
        <v>857008</v>
      </c>
      <c r="G122" s="14">
        <f>data!AB75</f>
        <v>8336116</v>
      </c>
      <c r="H122" s="14">
        <f>data!AC75</f>
        <v>6276446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790.65</v>
      </c>
      <c r="D124" s="14">
        <f>data!Y76</f>
        <v>5322.7199999999993</v>
      </c>
      <c r="E124" s="14">
        <f>data!Z76</f>
        <v>0</v>
      </c>
      <c r="F124" s="14">
        <f>data!AA76</f>
        <v>689.27</v>
      </c>
      <c r="G124" s="14">
        <f>data!AB76</f>
        <v>1815.12</v>
      </c>
      <c r="H124" s="14">
        <f>data!AC76</f>
        <v>804.46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790.65</v>
      </c>
      <c r="D126" s="14">
        <f>data!Y78</f>
        <v>5322.7199999999993</v>
      </c>
      <c r="E126" s="14">
        <f>data!Z78</f>
        <v>0</v>
      </c>
      <c r="F126" s="14">
        <f>data!AA78</f>
        <v>689.27</v>
      </c>
      <c r="G126" s="14">
        <f>data!AB78</f>
        <v>1815.12</v>
      </c>
      <c r="H126" s="14">
        <f>data!AC78</f>
        <v>804.46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Public Hospital District No 1 of Mason County, WA, DBA Mason General Hospital and Family of Clinics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22498</v>
      </c>
      <c r="D137" s="14">
        <f>data!AF59</f>
        <v>0</v>
      </c>
      <c r="E137" s="14">
        <f>data!AG59</f>
        <v>19855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20.170000000000002</v>
      </c>
      <c r="D138" s="26">
        <f>data!AF60</f>
        <v>0</v>
      </c>
      <c r="E138" s="26">
        <f>data!AG60</f>
        <v>28.26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1552220</v>
      </c>
      <c r="D139" s="14">
        <f>data!AF61</f>
        <v>0</v>
      </c>
      <c r="E139" s="14">
        <f>data!AG61</f>
        <v>2462978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400265</v>
      </c>
      <c r="D140" s="14">
        <f>data!AF62</f>
        <v>0</v>
      </c>
      <c r="E140" s="14">
        <f>data!AG62</f>
        <v>579279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65392</v>
      </c>
      <c r="D141" s="14">
        <f>data!AF63</f>
        <v>0</v>
      </c>
      <c r="E141" s="14">
        <f>data!AG63</f>
        <v>2761051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36510</v>
      </c>
      <c r="D142" s="14">
        <f>data!AF64</f>
        <v>0</v>
      </c>
      <c r="E142" s="14">
        <f>data!AG64</f>
        <v>272309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19158</v>
      </c>
      <c r="D144" s="14">
        <f>data!AF66</f>
        <v>0</v>
      </c>
      <c r="E144" s="14">
        <f>data!AG66</f>
        <v>21468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121168</v>
      </c>
      <c r="D145" s="14">
        <f>data!AF67</f>
        <v>0</v>
      </c>
      <c r="E145" s="14">
        <f>data!AG67</f>
        <v>297518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7381</v>
      </c>
      <c r="D146" s="14">
        <f>data!AF68</f>
        <v>0</v>
      </c>
      <c r="E146" s="14">
        <f>data!AG68</f>
        <v>10575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12175</v>
      </c>
      <c r="D147" s="14">
        <f>data!AF69</f>
        <v>0</v>
      </c>
      <c r="E147" s="14">
        <f>data!AG69</f>
        <v>35849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2214269</v>
      </c>
      <c r="D149" s="14">
        <f>data!AF71</f>
        <v>0</v>
      </c>
      <c r="E149" s="14">
        <f>data!AG71</f>
        <v>6441027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808261</v>
      </c>
      <c r="D151" s="48">
        <f>+data!M697</f>
        <v>0</v>
      </c>
      <c r="E151" s="48">
        <f>+data!M698</f>
        <v>4521960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466434</v>
      </c>
      <c r="D152" s="14">
        <f>data!AF73</f>
        <v>0</v>
      </c>
      <c r="E152" s="14">
        <f>data!AG73</f>
        <v>1565902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6847113</v>
      </c>
      <c r="D153" s="14">
        <f>data!AF74</f>
        <v>0</v>
      </c>
      <c r="E153" s="14">
        <f>data!AG74</f>
        <v>38559166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7313547</v>
      </c>
      <c r="D154" s="14">
        <f>data!AF75</f>
        <v>0</v>
      </c>
      <c r="E154" s="14">
        <f>data!AG75</f>
        <v>40125068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3881.51</v>
      </c>
      <c r="D156" s="14">
        <f>data!AF76</f>
        <v>0</v>
      </c>
      <c r="E156" s="14">
        <f>data!AG76</f>
        <v>9530.74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2991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3881.51</v>
      </c>
      <c r="D158" s="14">
        <f>data!AF78</f>
        <v>0</v>
      </c>
      <c r="E158" s="14">
        <f>data!AG78</f>
        <v>9530.74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9664</v>
      </c>
      <c r="D159" s="14">
        <f>data!AF79</f>
        <v>0</v>
      </c>
      <c r="E159" s="14">
        <f>data!AG79</f>
        <v>71691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28.26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Public Hospital District No 1 of Mason County, WA, DBA Mason General Hospital and Family of Clinics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85586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146.30000000000001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14403966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3594259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1059947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845062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54649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274110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2031842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83038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468951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-50125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22765699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5466545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27728939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27728939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44190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44190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Public Hospital District No 1 of Mason County, WA, DBA Mason General Hospital and Family of Clinics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28442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3.16</v>
      </c>
      <c r="G202" s="26">
        <f>data!AW60</f>
        <v>0</v>
      </c>
      <c r="H202" s="26">
        <f>data!AX60</f>
        <v>0</v>
      </c>
      <c r="I202" s="26">
        <f>data!AY60</f>
        <v>16.55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261978</v>
      </c>
      <c r="G203" s="14">
        <f>data!AW61</f>
        <v>0</v>
      </c>
      <c r="H203" s="14">
        <f>data!AX61</f>
        <v>0</v>
      </c>
      <c r="I203" s="14">
        <f>data!AY61</f>
        <v>697896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78870</v>
      </c>
      <c r="G204" s="14">
        <f>data!AW62</f>
        <v>0</v>
      </c>
      <c r="H204" s="14">
        <f>data!AX62</f>
        <v>0</v>
      </c>
      <c r="I204" s="14">
        <f>data!AY62</f>
        <v>298567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4111</v>
      </c>
      <c r="G206" s="14">
        <f>data!AW64</f>
        <v>0</v>
      </c>
      <c r="H206" s="14">
        <f>data!AX64</f>
        <v>0</v>
      </c>
      <c r="I206" s="14">
        <f>data!AY64</f>
        <v>719900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4153</v>
      </c>
      <c r="G208" s="14">
        <f>data!AW66</f>
        <v>0</v>
      </c>
      <c r="H208" s="14">
        <f>data!AX66</f>
        <v>0</v>
      </c>
      <c r="I208" s="14">
        <f>data!AY66</f>
        <v>15983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8354</v>
      </c>
      <c r="G209" s="14">
        <f>data!AW67</f>
        <v>0</v>
      </c>
      <c r="H209" s="14">
        <f>data!AX67</f>
        <v>0</v>
      </c>
      <c r="I209" s="14">
        <f>data!AY67</f>
        <v>157127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190</v>
      </c>
      <c r="G210" s="14">
        <f>data!AW68</f>
        <v>0</v>
      </c>
      <c r="H210" s="14">
        <f>data!AX68</f>
        <v>0</v>
      </c>
      <c r="I210" s="14">
        <f>data!AY68</f>
        <v>9711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6440</v>
      </c>
      <c r="G211" s="14">
        <f>data!AW69</f>
        <v>0</v>
      </c>
      <c r="H211" s="14">
        <f>data!AX69</f>
        <v>0</v>
      </c>
      <c r="I211" s="14">
        <f>data!AY69</f>
        <v>23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-1025</v>
      </c>
      <c r="G212" s="14">
        <f>-data!AW70</f>
        <v>0</v>
      </c>
      <c r="H212" s="14">
        <f>-data!AX70</f>
        <v>0</v>
      </c>
      <c r="I212" s="14">
        <f>-data!AY70</f>
        <v>-545569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363071</v>
      </c>
      <c r="G213" s="14">
        <f>data!AW71</f>
        <v>0</v>
      </c>
      <c r="H213" s="14">
        <f>data!AX71</f>
        <v>0</v>
      </c>
      <c r="I213" s="14">
        <f>data!AY71</f>
        <v>1353638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62795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232401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232401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267.60000000000002</v>
      </c>
      <c r="G220" s="14">
        <f>data!AW76</f>
        <v>0</v>
      </c>
      <c r="H220" s="14">
        <f>data!AX76</f>
        <v>0</v>
      </c>
      <c r="I220" s="85">
        <f>data!AY76</f>
        <v>5033.42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267.60000000000002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Public Hospital District No 1 of Mason County, WA, DBA Mason General Hospital and Family of Clinics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186976.5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1.49</v>
      </c>
      <c r="E234" s="26">
        <f>data!BB60</f>
        <v>0</v>
      </c>
      <c r="F234" s="26">
        <f>data!BC60</f>
        <v>0</v>
      </c>
      <c r="G234" s="26">
        <f>data!BD60</f>
        <v>5.7</v>
      </c>
      <c r="H234" s="26">
        <f>data!BE60</f>
        <v>11.54</v>
      </c>
      <c r="I234" s="26">
        <f>data!BF60</f>
        <v>23.93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55745</v>
      </c>
      <c r="E235" s="14">
        <f>data!BB61</f>
        <v>0</v>
      </c>
      <c r="F235" s="14">
        <f>data!BC61</f>
        <v>0</v>
      </c>
      <c r="G235" s="14">
        <f>data!BD61</f>
        <v>311381</v>
      </c>
      <c r="H235" s="14">
        <f>data!BE61</f>
        <v>834715</v>
      </c>
      <c r="I235" s="14">
        <f>data!BF61</f>
        <v>966825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32332</v>
      </c>
      <c r="E236" s="14">
        <f>data!BB62</f>
        <v>0</v>
      </c>
      <c r="F236" s="14">
        <f>data!BC62</f>
        <v>0</v>
      </c>
      <c r="G236" s="14">
        <f>data!BD62</f>
        <v>97486</v>
      </c>
      <c r="H236" s="14">
        <f>data!BE62</f>
        <v>262940</v>
      </c>
      <c r="I236" s="14">
        <f>data!BF62</f>
        <v>349985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60812</v>
      </c>
      <c r="E238" s="14">
        <f>data!BB64</f>
        <v>0</v>
      </c>
      <c r="F238" s="14">
        <f>data!BC64</f>
        <v>0</v>
      </c>
      <c r="G238" s="14">
        <f>data!BD64</f>
        <v>30565</v>
      </c>
      <c r="H238" s="14">
        <f>data!BE64</f>
        <v>90554</v>
      </c>
      <c r="I238" s="14">
        <f>data!BF64</f>
        <v>149365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1352</v>
      </c>
      <c r="H239" s="14">
        <f>data!BE65</f>
        <v>649624</v>
      </c>
      <c r="I239" s="14">
        <f>data!BF65</f>
        <v>122094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141240</v>
      </c>
      <c r="E240" s="14">
        <f>data!BB66</f>
        <v>0</v>
      </c>
      <c r="F240" s="14">
        <f>data!BC66</f>
        <v>0</v>
      </c>
      <c r="G240" s="14">
        <f>data!BD66</f>
        <v>211</v>
      </c>
      <c r="H240" s="14">
        <f>data!BE66</f>
        <v>363089</v>
      </c>
      <c r="I240" s="14">
        <f>data!BF66</f>
        <v>70980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45543</v>
      </c>
      <c r="E241" s="14">
        <f>data!BB67</f>
        <v>0</v>
      </c>
      <c r="F241" s="14">
        <f>data!BC67</f>
        <v>0</v>
      </c>
      <c r="G241" s="14">
        <f>data!BD67</f>
        <v>106073</v>
      </c>
      <c r="H241" s="14">
        <f>data!BE67</f>
        <v>772341</v>
      </c>
      <c r="I241" s="14">
        <f>data!BF67</f>
        <v>66387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12470</v>
      </c>
      <c r="H242" s="14">
        <f>data!BE68</f>
        <v>35155</v>
      </c>
      <c r="I242" s="14">
        <f>data!BF68</f>
        <v>1666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24698</v>
      </c>
      <c r="H243" s="14">
        <f>data!BE69</f>
        <v>14303</v>
      </c>
      <c r="I243" s="14">
        <f>data!BF69</f>
        <v>19984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-8505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335672</v>
      </c>
      <c r="E245" s="14">
        <f>data!BB71</f>
        <v>0</v>
      </c>
      <c r="F245" s="14">
        <f>data!BC71</f>
        <v>0</v>
      </c>
      <c r="G245" s="14">
        <f>data!BD71</f>
        <v>584236</v>
      </c>
      <c r="H245" s="14">
        <f>data!BE71</f>
        <v>3014216</v>
      </c>
      <c r="I245" s="14">
        <f>data!BF71</f>
        <v>1747286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1458.93</v>
      </c>
      <c r="E252" s="85">
        <f>data!BB76</f>
        <v>0</v>
      </c>
      <c r="F252" s="85">
        <f>data!BC76</f>
        <v>0</v>
      </c>
      <c r="G252" s="85">
        <f>data!BD76</f>
        <v>3397.94</v>
      </c>
      <c r="H252" s="85">
        <f>data!BE76</f>
        <v>24741.25</v>
      </c>
      <c r="I252" s="85">
        <f>data!BF76</f>
        <v>2126.66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1458.93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Public Hospital District No 1 of Mason County, WA, DBA Mason General Hospital and Family of Clinics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5.79</v>
      </c>
      <c r="E266" s="26">
        <f>data!BI60</f>
        <v>0</v>
      </c>
      <c r="F266" s="26">
        <f>data!BJ60</f>
        <v>6.41</v>
      </c>
      <c r="G266" s="26">
        <f>data!BK60</f>
        <v>21.86</v>
      </c>
      <c r="H266" s="26">
        <f>data!BL60</f>
        <v>22.97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462384</v>
      </c>
      <c r="E267" s="14">
        <f>data!BI61</f>
        <v>0</v>
      </c>
      <c r="F267" s="14">
        <f>data!BJ61</f>
        <v>458662</v>
      </c>
      <c r="G267" s="14">
        <f>data!BK61</f>
        <v>1143042</v>
      </c>
      <c r="H267" s="14">
        <f>data!BL61</f>
        <v>1020513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141616</v>
      </c>
      <c r="E268" s="14">
        <f>data!BI62</f>
        <v>0</v>
      </c>
      <c r="F268" s="14">
        <f>data!BJ62</f>
        <v>130910</v>
      </c>
      <c r="G268" s="14">
        <f>data!BK62</f>
        <v>410145</v>
      </c>
      <c r="H268" s="14">
        <f>data!BL62</f>
        <v>389536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189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432304</v>
      </c>
      <c r="E270" s="14">
        <f>data!BI64</f>
        <v>0</v>
      </c>
      <c r="F270" s="14">
        <f>data!BJ64</f>
        <v>5251</v>
      </c>
      <c r="G270" s="14">
        <f>data!BK64</f>
        <v>9834</v>
      </c>
      <c r="H270" s="14">
        <f>data!BL64</f>
        <v>15461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177769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3679873</v>
      </c>
      <c r="E272" s="14">
        <f>data!BI66</f>
        <v>0</v>
      </c>
      <c r="F272" s="14">
        <f>data!BJ66</f>
        <v>23125</v>
      </c>
      <c r="G272" s="14">
        <f>data!BK66</f>
        <v>173669</v>
      </c>
      <c r="H272" s="14">
        <f>data!BL66</f>
        <v>38515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101483</v>
      </c>
      <c r="E273" s="14">
        <f>data!BI67</f>
        <v>0</v>
      </c>
      <c r="F273" s="14">
        <f>data!BJ67</f>
        <v>95820</v>
      </c>
      <c r="G273" s="14">
        <f>data!BK67</f>
        <v>85362</v>
      </c>
      <c r="H273" s="14">
        <f>data!BL67</f>
        <v>67356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57080</v>
      </c>
      <c r="E274" s="14">
        <f>data!BI68</f>
        <v>0</v>
      </c>
      <c r="F274" s="14">
        <f>data!BJ68</f>
        <v>26467</v>
      </c>
      <c r="G274" s="14">
        <f>data!BK68</f>
        <v>54302</v>
      </c>
      <c r="H274" s="14">
        <f>data!BL68</f>
        <v>8397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77664</v>
      </c>
      <c r="E275" s="14">
        <f>data!BI69</f>
        <v>0</v>
      </c>
      <c r="F275" s="14">
        <f>data!BJ69</f>
        <v>139683</v>
      </c>
      <c r="G275" s="14">
        <f>data!BK69</f>
        <v>15533</v>
      </c>
      <c r="H275" s="14">
        <f>data!BL69</f>
        <v>12509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5130173</v>
      </c>
      <c r="E277" s="14">
        <f>data!BI71</f>
        <v>0</v>
      </c>
      <c r="F277" s="14">
        <f>data!BJ71</f>
        <v>879918</v>
      </c>
      <c r="G277" s="14">
        <f>data!BK71</f>
        <v>1892076</v>
      </c>
      <c r="H277" s="14">
        <f>data!BL71</f>
        <v>1552287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3250.91</v>
      </c>
      <c r="E284" s="85">
        <f>data!BI76</f>
        <v>0</v>
      </c>
      <c r="F284" s="85">
        <f>data!BJ76</f>
        <v>3069.5</v>
      </c>
      <c r="G284" s="85">
        <f>data!BK76</f>
        <v>2734.5</v>
      </c>
      <c r="H284" s="85">
        <f>data!BL76</f>
        <v>2157.69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3250.91</v>
      </c>
      <c r="E286" s="85">
        <f>data!BI78</f>
        <v>0</v>
      </c>
      <c r="F286" s="213" t="str">
        <f>IF(data!BJ78&gt;0,data!BJ78,"")</f>
        <v>x</v>
      </c>
      <c r="G286" s="85">
        <f>data!BK78</f>
        <v>2734.5</v>
      </c>
      <c r="H286" s="85">
        <f>data!BL78</f>
        <v>2157.69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Public Hospital District No 1 of Mason County, WA, DBA Mason General Hospital and Family of Clinics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12.13</v>
      </c>
      <c r="D298" s="26">
        <f>data!BO60</f>
        <v>2.0099999999999998</v>
      </c>
      <c r="E298" s="26">
        <f>data!BP60</f>
        <v>0</v>
      </c>
      <c r="F298" s="26">
        <f>data!BQ60</f>
        <v>0</v>
      </c>
      <c r="G298" s="26">
        <f>data!BR60</f>
        <v>4.26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2487265</v>
      </c>
      <c r="D299" s="14">
        <f>data!BO61</f>
        <v>152431</v>
      </c>
      <c r="E299" s="14">
        <f>data!BP61</f>
        <v>0</v>
      </c>
      <c r="F299" s="14">
        <f>data!BQ61</f>
        <v>0</v>
      </c>
      <c r="G299" s="14">
        <f>data!BR61</f>
        <v>317860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555727</v>
      </c>
      <c r="D300" s="14">
        <f>data!BO62</f>
        <v>50160</v>
      </c>
      <c r="E300" s="14">
        <f>data!BP62</f>
        <v>0</v>
      </c>
      <c r="F300" s="14">
        <f>data!BQ62</f>
        <v>0</v>
      </c>
      <c r="G300" s="14">
        <f>data!BR62</f>
        <v>74852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164800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68760</v>
      </c>
      <c r="D302" s="14">
        <f>data!BO64</f>
        <v>14958</v>
      </c>
      <c r="E302" s="14">
        <f>data!BP64</f>
        <v>1932</v>
      </c>
      <c r="F302" s="14">
        <f>data!BQ64</f>
        <v>0</v>
      </c>
      <c r="G302" s="14">
        <f>data!BR64</f>
        <v>33661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1871</v>
      </c>
      <c r="D303" s="14">
        <f>data!BO65</f>
        <v>1356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683693</v>
      </c>
      <c r="D304" s="14">
        <f>data!BO66</f>
        <v>41391</v>
      </c>
      <c r="E304" s="14">
        <f>data!BP66</f>
        <v>218322</v>
      </c>
      <c r="F304" s="14">
        <f>data!BQ66</f>
        <v>0</v>
      </c>
      <c r="G304" s="14">
        <f>data!BR66</f>
        <v>152160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139770</v>
      </c>
      <c r="D305" s="14">
        <f>data!BO67</f>
        <v>9955</v>
      </c>
      <c r="E305" s="14">
        <f>data!BP67</f>
        <v>0</v>
      </c>
      <c r="F305" s="14">
        <f>data!BQ67</f>
        <v>0</v>
      </c>
      <c r="G305" s="14">
        <f>data!BR67</f>
        <v>59145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26431</v>
      </c>
      <c r="D306" s="14">
        <f>data!BO68</f>
        <v>2503</v>
      </c>
      <c r="E306" s="14">
        <f>data!BP68</f>
        <v>0</v>
      </c>
      <c r="F306" s="14">
        <f>data!BQ68</f>
        <v>0</v>
      </c>
      <c r="G306" s="14">
        <f>data!BR68</f>
        <v>8628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415324</v>
      </c>
      <c r="D307" s="14">
        <f>data!BO69</f>
        <v>5204</v>
      </c>
      <c r="E307" s="14">
        <f>data!BP69</f>
        <v>67590</v>
      </c>
      <c r="F307" s="14">
        <f>data!BQ69</f>
        <v>0</v>
      </c>
      <c r="G307" s="14">
        <f>data!BR69</f>
        <v>164361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-250333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-63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4293308</v>
      </c>
      <c r="D309" s="14">
        <f>data!BO71</f>
        <v>277958</v>
      </c>
      <c r="E309" s="14">
        <f>data!BP71</f>
        <v>287844</v>
      </c>
      <c r="F309" s="14">
        <f>data!BQ71</f>
        <v>0</v>
      </c>
      <c r="G309" s="14">
        <f>data!BR71</f>
        <v>810604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4477.3999999999996</v>
      </c>
      <c r="D316" s="85">
        <f>data!BO76</f>
        <v>318.91000000000003</v>
      </c>
      <c r="E316" s="85">
        <f>data!BP76</f>
        <v>0</v>
      </c>
      <c r="F316" s="85">
        <f>data!BQ76</f>
        <v>0</v>
      </c>
      <c r="G316" s="85">
        <f>data!BR76</f>
        <v>1894.65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Public Hospital District No 1 of Mason County, WA, DBA Mason General Hospital and Family of Clinics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20.78</v>
      </c>
      <c r="E330" s="26">
        <f>data!BW60</f>
        <v>2</v>
      </c>
      <c r="F330" s="26">
        <f>data!BX60</f>
        <v>0</v>
      </c>
      <c r="G330" s="26">
        <f>data!BY60</f>
        <v>27.56</v>
      </c>
      <c r="H330" s="26">
        <f>data!BZ60</f>
        <v>0</v>
      </c>
      <c r="I330" s="26">
        <f>data!CA60</f>
        <v>2.23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1116065</v>
      </c>
      <c r="E331" s="86">
        <f>data!BW61</f>
        <v>141222</v>
      </c>
      <c r="F331" s="86">
        <f>data!BX61</f>
        <v>0</v>
      </c>
      <c r="G331" s="86">
        <f>data!BY61</f>
        <v>2633851</v>
      </c>
      <c r="H331" s="86">
        <f>data!BZ61</f>
        <v>0</v>
      </c>
      <c r="I331" s="86">
        <f>data!CA61</f>
        <v>199041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422125</v>
      </c>
      <c r="E332" s="86">
        <f>data!BW62</f>
        <v>44169</v>
      </c>
      <c r="F332" s="86">
        <f>data!BX62</f>
        <v>0</v>
      </c>
      <c r="G332" s="86">
        <f>data!BY62</f>
        <v>741653</v>
      </c>
      <c r="H332" s="86">
        <f>data!BZ62</f>
        <v>0</v>
      </c>
      <c r="I332" s="86">
        <f>data!CA62</f>
        <v>58108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6800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11894</v>
      </c>
      <c r="E334" s="86">
        <f>data!BW64</f>
        <v>5139</v>
      </c>
      <c r="F334" s="86">
        <f>data!BX64</f>
        <v>0</v>
      </c>
      <c r="G334" s="86">
        <f>data!BY64</f>
        <v>8887</v>
      </c>
      <c r="H334" s="86">
        <f>data!BZ64</f>
        <v>0</v>
      </c>
      <c r="I334" s="86">
        <f>data!CA64</f>
        <v>5996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4597</v>
      </c>
      <c r="E335" s="86">
        <f>data!BW65</f>
        <v>0</v>
      </c>
      <c r="F335" s="86">
        <f>data!BX65</f>
        <v>0</v>
      </c>
      <c r="G335" s="86">
        <f>data!BY65</f>
        <v>10966</v>
      </c>
      <c r="H335" s="86">
        <f>data!BZ65</f>
        <v>0</v>
      </c>
      <c r="I335" s="86">
        <f>data!CA65</f>
        <v>696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397607</v>
      </c>
      <c r="E336" s="86">
        <f>data!BW66</f>
        <v>11534</v>
      </c>
      <c r="F336" s="86">
        <f>data!BX66</f>
        <v>0</v>
      </c>
      <c r="G336" s="86">
        <f>data!BY66</f>
        <v>230607</v>
      </c>
      <c r="H336" s="86">
        <f>data!BZ66</f>
        <v>0</v>
      </c>
      <c r="I336" s="86">
        <f>data!CA66</f>
        <v>19761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131160</v>
      </c>
      <c r="E337" s="86">
        <f>data!BW67</f>
        <v>31857</v>
      </c>
      <c r="F337" s="86">
        <f>data!BX67</f>
        <v>0</v>
      </c>
      <c r="G337" s="86">
        <f>data!BY67</f>
        <v>75715</v>
      </c>
      <c r="H337" s="86">
        <f>data!BZ67</f>
        <v>0</v>
      </c>
      <c r="I337" s="86">
        <f>data!CA67</f>
        <v>32653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46236</v>
      </c>
      <c r="E338" s="86">
        <f>data!BW68</f>
        <v>257</v>
      </c>
      <c r="F338" s="86">
        <f>data!BX68</f>
        <v>0</v>
      </c>
      <c r="G338" s="86">
        <f>data!BY68</f>
        <v>8467</v>
      </c>
      <c r="H338" s="86">
        <f>data!BZ68</f>
        <v>0</v>
      </c>
      <c r="I338" s="86">
        <f>data!CA68</f>
        <v>21416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16594</v>
      </c>
      <c r="E339" s="86">
        <f>data!BW69</f>
        <v>55492</v>
      </c>
      <c r="F339" s="86">
        <f>data!BX69</f>
        <v>0</v>
      </c>
      <c r="G339" s="86">
        <f>data!BY69</f>
        <v>21290</v>
      </c>
      <c r="H339" s="86">
        <f>data!BZ69</f>
        <v>0</v>
      </c>
      <c r="I339" s="86">
        <f>data!CA69</f>
        <v>15605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-31291</v>
      </c>
      <c r="E340" s="14">
        <f>-data!BW70</f>
        <v>-4795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2114987</v>
      </c>
      <c r="E341" s="14">
        <f>data!BW71</f>
        <v>291675</v>
      </c>
      <c r="F341" s="14">
        <f>data!BX71</f>
        <v>0</v>
      </c>
      <c r="G341" s="14">
        <f>data!BY71</f>
        <v>3731436</v>
      </c>
      <c r="H341" s="14">
        <f>data!BZ71</f>
        <v>0</v>
      </c>
      <c r="I341" s="14">
        <f>data!CA71</f>
        <v>353276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4201.6000000000004</v>
      </c>
      <c r="E348" s="85">
        <f>data!BW76</f>
        <v>1020.52</v>
      </c>
      <c r="F348" s="85">
        <f>data!BX76</f>
        <v>0</v>
      </c>
      <c r="G348" s="85">
        <f>data!BY76</f>
        <v>2425.46</v>
      </c>
      <c r="H348" s="85">
        <f>data!BZ76</f>
        <v>0</v>
      </c>
      <c r="I348" s="85">
        <f>data!CA76</f>
        <v>1046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2838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4201.6000000000004</v>
      </c>
      <c r="E350" s="85">
        <f>data!BW78</f>
        <v>1020.52</v>
      </c>
      <c r="F350" s="85">
        <f>data!BX78</f>
        <v>0</v>
      </c>
      <c r="G350" s="85">
        <f>data!BY78</f>
        <v>2425.46</v>
      </c>
      <c r="H350" s="85">
        <f>data!BZ78</f>
        <v>0</v>
      </c>
      <c r="I350" s="85">
        <f>data!CA78</f>
        <v>1046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Public Hospital District No 1 of Mason County, WA, DBA Mason General Hospital and Family of Clinics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9.73</v>
      </c>
      <c r="E362" s="217"/>
      <c r="F362" s="211"/>
      <c r="G362" s="211"/>
      <c r="H362" s="211"/>
      <c r="I362" s="87">
        <f>data!CE60</f>
        <v>577.79000000000008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571017</v>
      </c>
      <c r="E363" s="218"/>
      <c r="F363" s="219"/>
      <c r="G363" s="219"/>
      <c r="H363" s="219"/>
      <c r="I363" s="86">
        <f>data!CE61</f>
        <v>48797793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177465</v>
      </c>
      <c r="E364" s="218"/>
      <c r="F364" s="219"/>
      <c r="G364" s="219"/>
      <c r="H364" s="219"/>
      <c r="I364" s="86">
        <f>data!CE62</f>
        <v>13460108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4300805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33397</v>
      </c>
      <c r="E366" s="218"/>
      <c r="F366" s="219"/>
      <c r="G366" s="219"/>
      <c r="H366" s="219"/>
      <c r="I366" s="86">
        <f>data!CE64</f>
        <v>11855296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4090</v>
      </c>
      <c r="E367" s="218"/>
      <c r="F367" s="219"/>
      <c r="G367" s="219"/>
      <c r="H367" s="219"/>
      <c r="I367" s="86">
        <f>data!CE65</f>
        <v>1033970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140114</v>
      </c>
      <c r="E368" s="218"/>
      <c r="F368" s="219"/>
      <c r="G368" s="219"/>
      <c r="H368" s="219"/>
      <c r="I368" s="86">
        <f>data!CE66</f>
        <v>9462831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180435</v>
      </c>
      <c r="E369" s="218"/>
      <c r="F369" s="219"/>
      <c r="G369" s="219"/>
      <c r="H369" s="219"/>
      <c r="I369" s="86">
        <f>data!CE67</f>
        <v>6489171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51342</v>
      </c>
      <c r="E370" s="218"/>
      <c r="F370" s="219"/>
      <c r="G370" s="219"/>
      <c r="H370" s="219"/>
      <c r="I370" s="86">
        <f>data!CE68</f>
        <v>735822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866343</v>
      </c>
      <c r="E371" s="86">
        <f>data!CD69</f>
        <v>1332333</v>
      </c>
      <c r="F371" s="219"/>
      <c r="G371" s="219"/>
      <c r="H371" s="219"/>
      <c r="I371" s="86">
        <f>data!CE69</f>
        <v>3894547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1848955</v>
      </c>
      <c r="F372" s="220"/>
      <c r="G372" s="220"/>
      <c r="H372" s="220"/>
      <c r="I372" s="14">
        <f>-data!CE70</f>
        <v>-8159196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2024203</v>
      </c>
      <c r="E373" s="86">
        <f>data!CD71</f>
        <v>-516622</v>
      </c>
      <c r="F373" s="219"/>
      <c r="G373" s="219"/>
      <c r="H373" s="219"/>
      <c r="I373" s="14">
        <f>data!CE71</f>
        <v>91871147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-2215600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49586755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173295880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222882635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5780.09</v>
      </c>
      <c r="E380" s="214"/>
      <c r="F380" s="211"/>
      <c r="G380" s="211"/>
      <c r="H380" s="211"/>
      <c r="I380" s="14">
        <f>data!CE76</f>
        <v>186976.47999999998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28442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136136.65999999997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298490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133.87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Transmittal!Print_Area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Mason General Hospital Year End Report</dc:title>
  <dc:subject>2018 Mason General Hospital Year End Report</dc:subject>
  <dc:creator>Washington State Dept of Health - HSQA - Community Health Systems</dc:creator>
  <cp:keywords>hospital financial reports</cp:keywords>
  <cp:lastModifiedBy>Huyck, Randall  (DOH)</cp:lastModifiedBy>
  <cp:lastPrinted>2019-07-02T15:26:05Z</cp:lastPrinted>
  <dcterms:created xsi:type="dcterms:W3CDTF">1999-06-02T22:01:56Z</dcterms:created>
  <dcterms:modified xsi:type="dcterms:W3CDTF">2019-07-03T22:47:00Z</dcterms:modified>
</cp:coreProperties>
</file>