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ben_hamilton_doh_wa_gov/Documents/Desktop/"/>
    </mc:Choice>
  </mc:AlternateContent>
  <xr:revisionPtr revIDLastSave="0" documentId="8_{A4EA6945-1663-4D2B-B9ED-97C10E22B570}" xr6:coauthVersionLast="47" xr6:coauthVersionMax="47" xr10:uidLastSave="{00000000-0000-0000-0000-000000000000}"/>
  <bookViews>
    <workbookView xWindow="-108" yWindow="-108" windowWidth="23256" windowHeight="12576" tabRatio="604" xr2:uid="{00000000-000D-0000-FFFF-FFFF00000000}"/>
  </bookViews>
  <sheets>
    <sheet name="Subdivision with Public Water" sheetId="10" r:id="rId1"/>
    <sheet name="Single Lot with Public Water" sheetId="7" r:id="rId2"/>
    <sheet name="SubdivisionScenariosPublicWater" sheetId="14" r:id="rId3"/>
    <sheet name="Subdivision with Private Water" sheetId="13" r:id="rId4"/>
    <sheet name="Single Lot with Private Water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0" l="1"/>
  <c r="E50" i="10"/>
  <c r="E43" i="10"/>
  <c r="E34" i="10"/>
  <c r="E26" i="10"/>
  <c r="J50" i="13" l="1"/>
  <c r="J51" i="13" s="1"/>
  <c r="I50" i="13"/>
  <c r="I51" i="13" s="1"/>
  <c r="H50" i="13"/>
  <c r="H51" i="13" s="1"/>
  <c r="G50" i="13"/>
  <c r="G51" i="13" s="1"/>
  <c r="F50" i="13"/>
  <c r="F51" i="13" s="1"/>
  <c r="E50" i="13"/>
  <c r="E51" i="13" s="1"/>
  <c r="E35" i="13"/>
  <c r="E36" i="13" s="1"/>
  <c r="E23" i="13"/>
  <c r="E24" i="13" s="1"/>
  <c r="E22" i="13"/>
  <c r="E29" i="13" s="1"/>
  <c r="E31" i="13" s="1"/>
  <c r="E20" i="13"/>
  <c r="E21" i="13" s="1"/>
  <c r="E4" i="13"/>
  <c r="K29" i="12"/>
  <c r="K30" i="12" s="1"/>
  <c r="J29" i="12"/>
  <c r="J30" i="12" s="1"/>
  <c r="I29" i="12"/>
  <c r="I30" i="12" s="1"/>
  <c r="H29" i="12"/>
  <c r="H30" i="12" s="1"/>
  <c r="G29" i="12"/>
  <c r="G30" i="12" s="1"/>
  <c r="F29" i="12"/>
  <c r="F30" i="12" s="1"/>
  <c r="E19" i="12"/>
  <c r="E20" i="12" s="1"/>
  <c r="E21" i="12" s="1"/>
  <c r="J13" i="12"/>
  <c r="J14" i="12" s="1"/>
  <c r="J12" i="12"/>
  <c r="E13" i="12" s="1"/>
  <c r="E30" i="13" l="1"/>
  <c r="E37" i="13"/>
  <c r="E43" i="13" s="1"/>
  <c r="E45" i="13" s="1"/>
  <c r="E38" i="13"/>
  <c r="E12" i="12"/>
  <c r="E14" i="12" s="1"/>
  <c r="E22" i="12"/>
  <c r="E44" i="13" l="1"/>
  <c r="J19" i="12"/>
  <c r="J21" i="12" s="1"/>
  <c r="E23" i="12"/>
  <c r="J20" i="12"/>
  <c r="E20" i="10" l="1"/>
  <c r="J57" i="10" l="1"/>
  <c r="I57" i="10"/>
  <c r="H57" i="10"/>
  <c r="G57" i="10"/>
  <c r="F57" i="10"/>
  <c r="E57" i="10"/>
  <c r="K29" i="7"/>
  <c r="K30" i="7" s="1"/>
  <c r="J29" i="7"/>
  <c r="J30" i="7" s="1"/>
  <c r="I29" i="7"/>
  <c r="I30" i="7" s="1"/>
  <c r="H29" i="7"/>
  <c r="H30" i="7" s="1"/>
  <c r="G29" i="7"/>
  <c r="G30" i="7" s="1"/>
  <c r="F29" i="7"/>
  <c r="F30" i="7" s="1"/>
  <c r="E59" i="10" l="1"/>
  <c r="E58" i="10"/>
  <c r="F59" i="10"/>
  <c r="F58" i="10"/>
  <c r="G59" i="10"/>
  <c r="G58" i="10"/>
  <c r="H59" i="10"/>
  <c r="H58" i="10"/>
  <c r="I59" i="10"/>
  <c r="I58" i="10"/>
  <c r="J59" i="10"/>
  <c r="J58" i="10"/>
  <c r="E21" i="10"/>
  <c r="E39" i="10"/>
  <c r="E40" i="10" s="1"/>
  <c r="E23" i="10"/>
  <c r="E22" i="10"/>
  <c r="E31" i="10" s="1"/>
  <c r="E4" i="10"/>
  <c r="E42" i="10" l="1"/>
  <c r="E24" i="10"/>
  <c r="E25" i="10"/>
  <c r="E33" i="10"/>
  <c r="E32" i="10"/>
  <c r="E35" i="10" s="1"/>
  <c r="E41" i="10"/>
  <c r="E48" i="10" s="1"/>
  <c r="E19" i="7"/>
  <c r="E20" i="7" s="1"/>
  <c r="J13" i="7"/>
  <c r="J14" i="7" s="1"/>
  <c r="J12" i="7"/>
  <c r="E12" i="7" s="1"/>
  <c r="E14" i="7" s="1"/>
  <c r="E52" i="10" l="1"/>
  <c r="E13" i="7"/>
  <c r="E49" i="10"/>
  <c r="E21" i="7"/>
  <c r="J19" i="7" s="1"/>
  <c r="J21" i="7" s="1"/>
  <c r="E22" i="7"/>
  <c r="E23" i="7" s="1"/>
  <c r="J20" i="7" l="1"/>
</calcChain>
</file>

<file path=xl/sharedStrings.xml><?xml version="1.0" encoding="utf-8"?>
<sst xmlns="http://schemas.openxmlformats.org/spreadsheetml/2006/main" count="757" uniqueCount="181">
  <si>
    <t>Value</t>
  </si>
  <si>
    <t>Variable</t>
  </si>
  <si>
    <t>Units</t>
  </si>
  <si>
    <t>Description</t>
  </si>
  <si>
    <t>Soil type</t>
  </si>
  <si>
    <t>B</t>
  </si>
  <si>
    <t>#</t>
  </si>
  <si>
    <t>Number of bedrooms</t>
  </si>
  <si>
    <t>S</t>
  </si>
  <si>
    <t>Type</t>
  </si>
  <si>
    <r>
      <t>L</t>
    </r>
    <r>
      <rPr>
        <vertAlign val="subscript"/>
        <sz val="11"/>
        <color theme="1"/>
        <rFont val="Calibri"/>
        <family val="2"/>
        <scheme val="minor"/>
      </rPr>
      <t>A</t>
    </r>
  </si>
  <si>
    <t>sq ft</t>
  </si>
  <si>
    <t>Lot Size</t>
  </si>
  <si>
    <r>
      <t>N</t>
    </r>
    <r>
      <rPr>
        <vertAlign val="subscript"/>
        <sz val="11"/>
        <color theme="1"/>
        <rFont val="Calibri"/>
        <family val="2"/>
        <scheme val="minor"/>
      </rPr>
      <t>W</t>
    </r>
  </si>
  <si>
    <t>mg/L</t>
  </si>
  <si>
    <t>Concentration of nitrogen in wastewater in mg/L</t>
  </si>
  <si>
    <r>
      <t>G</t>
    </r>
    <r>
      <rPr>
        <vertAlign val="subscript"/>
        <sz val="11"/>
        <color theme="1"/>
        <rFont val="Calibri"/>
        <family val="2"/>
        <scheme val="minor"/>
      </rPr>
      <t>B</t>
    </r>
  </si>
  <si>
    <t>gpd</t>
  </si>
  <si>
    <t>Gallons per bedroom</t>
  </si>
  <si>
    <t>L</t>
  </si>
  <si>
    <t>Minimum lot size in sq ft (From Table X, based on and soil type and public water supply)</t>
  </si>
  <si>
    <r>
      <t>D</t>
    </r>
    <r>
      <rPr>
        <vertAlign val="subscript"/>
        <sz val="11"/>
        <color theme="1"/>
        <rFont val="Calibri"/>
        <family val="2"/>
        <scheme val="minor"/>
      </rPr>
      <t>T</t>
    </r>
  </si>
  <si>
    <t>%</t>
  </si>
  <si>
    <t>Treatment denitrification factor</t>
  </si>
  <si>
    <r>
      <t>N</t>
    </r>
    <r>
      <rPr>
        <vertAlign val="subscript"/>
        <sz val="11"/>
        <color theme="1"/>
        <rFont val="Calibri"/>
        <family val="2"/>
        <scheme val="minor"/>
      </rPr>
      <t>E</t>
    </r>
  </si>
  <si>
    <t>mg/l</t>
  </si>
  <si>
    <t>Concentration of nitrate in wastewater released to the soil (post treatment)</t>
  </si>
  <si>
    <r>
      <t>V</t>
    </r>
    <r>
      <rPr>
        <vertAlign val="subscript"/>
        <sz val="11"/>
        <color theme="1"/>
        <rFont val="Calibri"/>
        <family val="2"/>
        <scheme val="minor"/>
      </rPr>
      <t>W</t>
    </r>
  </si>
  <si>
    <t>NA</t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</si>
  <si>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</si>
  <si>
    <t>Constant to convert from acre to square feet</t>
  </si>
  <si>
    <r>
      <t>C</t>
    </r>
    <r>
      <rPr>
        <vertAlign val="subscript"/>
        <sz val="11"/>
        <color theme="1"/>
        <rFont val="Calibri"/>
        <family val="2"/>
        <scheme val="minor"/>
      </rPr>
      <t>2</t>
    </r>
  </si>
  <si>
    <t>Constant to convert from gallon to liter</t>
  </si>
  <si>
    <r>
      <t>C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</si>
  <si>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Constant to convert from lb to mg </t>
  </si>
  <si>
    <t>mg</t>
  </si>
  <si>
    <t>Nitrogen limit per day per acre</t>
  </si>
  <si>
    <r>
      <t>N</t>
    </r>
    <r>
      <rPr>
        <vertAlign val="subscript"/>
        <sz val="11"/>
        <color theme="1"/>
        <rFont val="Calibri"/>
        <family val="2"/>
        <scheme val="minor"/>
      </rPr>
      <t>LL</t>
    </r>
  </si>
  <si>
    <t>Nitrogen limit per day per lot</t>
  </si>
  <si>
    <r>
      <t>D</t>
    </r>
    <r>
      <rPr>
        <vertAlign val="subscript"/>
        <sz val="11"/>
        <color theme="1"/>
        <rFont val="Calibri"/>
        <family val="2"/>
        <scheme val="minor"/>
      </rPr>
      <t>S</t>
    </r>
  </si>
  <si>
    <t>Soil denitrification factor</t>
  </si>
  <si>
    <r>
      <t>N</t>
    </r>
    <r>
      <rPr>
        <vertAlign val="subscript"/>
        <sz val="11"/>
        <color theme="1"/>
        <rFont val="Calibri"/>
        <family val="2"/>
        <scheme val="minor"/>
      </rPr>
      <t>F</t>
    </r>
  </si>
  <si>
    <t>Final concentration of nitrogen in effluent mixing with groundwater</t>
  </si>
  <si>
    <r>
      <t>V</t>
    </r>
    <r>
      <rPr>
        <vertAlign val="subscript"/>
        <sz val="11"/>
        <color theme="1"/>
        <rFont val="Calibri"/>
        <family val="2"/>
        <scheme val="minor"/>
      </rPr>
      <t>L</t>
    </r>
  </si>
  <si>
    <t>liters</t>
  </si>
  <si>
    <t>Liters of wastewater per day</t>
  </si>
  <si>
    <t>Conversions</t>
  </si>
  <si>
    <r>
      <t>N</t>
    </r>
    <r>
      <rPr>
        <vertAlign val="subscript"/>
        <sz val="11"/>
        <color theme="1"/>
        <rFont val="Calibri"/>
        <family val="2"/>
        <scheme val="minor"/>
      </rPr>
      <t>L</t>
    </r>
  </si>
  <si>
    <t>mg N per day from OSS</t>
  </si>
  <si>
    <t>gallon</t>
  </si>
  <si>
    <t>liter</t>
  </si>
  <si>
    <t>lb</t>
  </si>
  <si>
    <t>acre</t>
  </si>
  <si>
    <r>
      <t>E</t>
    </r>
    <r>
      <rPr>
        <vertAlign val="subscript"/>
        <sz val="11"/>
        <color theme="1"/>
        <rFont val="Calibri"/>
        <family val="2"/>
        <scheme val="minor"/>
      </rPr>
      <t>L</t>
    </r>
  </si>
  <si>
    <t>Exceedance of nitrogen limit per day on lot</t>
  </si>
  <si>
    <t>bedroom</t>
  </si>
  <si>
    <t xml:space="preserve"> </t>
  </si>
  <si>
    <t>mg N per day per sq ft from OSS</t>
  </si>
  <si>
    <t>Nitrogen limit per day per sq ft</t>
  </si>
  <si>
    <t>Min Lot Size (sq ft)</t>
  </si>
  <si>
    <r>
      <t>N</t>
    </r>
    <r>
      <rPr>
        <vertAlign val="subscript"/>
        <sz val="11"/>
        <color theme="1"/>
        <rFont val="Calibri"/>
        <family val="2"/>
        <scheme val="minor"/>
      </rPr>
      <t>LS</t>
    </r>
  </si>
  <si>
    <t>INPUTS</t>
  </si>
  <si>
    <t>GIVEN</t>
  </si>
  <si>
    <t>OUTPUTS</t>
  </si>
  <si>
    <t>OSS/SITE</t>
  </si>
  <si>
    <t>LIMITS</t>
  </si>
  <si>
    <t>EXCEEDANCES</t>
  </si>
  <si>
    <t>Exceedance of nitrogen limit per sq ft</t>
  </si>
  <si>
    <r>
      <t>E</t>
    </r>
    <r>
      <rPr>
        <vertAlign val="subscript"/>
        <sz val="11"/>
        <color theme="1"/>
        <rFont val="Calibri"/>
        <family val="2"/>
        <scheme val="minor"/>
      </rPr>
      <t>S</t>
    </r>
  </si>
  <si>
    <r>
      <t>N</t>
    </r>
    <r>
      <rPr>
        <vertAlign val="subscript"/>
        <sz val="11"/>
        <color theme="1"/>
        <rFont val="Calibri"/>
        <family val="2"/>
        <scheme val="minor"/>
      </rPr>
      <t>S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</si>
  <si>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W </t>
    </r>
    <r>
      <rPr>
        <i/>
        <sz val="11"/>
        <color theme="1"/>
        <rFont val="Calibri"/>
        <family val="2"/>
        <scheme val="minor"/>
      </rPr>
      <t>= B x G</t>
    </r>
    <r>
      <rPr>
        <i/>
        <vertAlign val="subscript"/>
        <sz val="11"/>
        <color theme="1"/>
        <rFont val="Calibri"/>
        <family val="2"/>
        <scheme val="minor"/>
      </rPr>
      <t>B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</si>
  <si>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 xml:space="preserve">E </t>
    </r>
    <r>
      <rPr>
        <i/>
        <sz val="11"/>
        <color theme="1"/>
        <rFont val="Calibri"/>
        <family val="2"/>
        <scheme val="minor"/>
      </rPr>
      <t>= V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 xml:space="preserve"> x N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 xml:space="preserve"> x (1-D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)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</si>
  <si>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 xml:space="preserve">F </t>
    </r>
    <r>
      <rPr>
        <i/>
        <sz val="11"/>
        <color theme="1"/>
        <rFont val="Calibri"/>
        <family val="2"/>
        <scheme val="minor"/>
      </rPr>
      <t>= N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 xml:space="preserve"> x (1-D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>)</t>
    </r>
  </si>
  <si>
    <r>
      <t>E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 xml:space="preserve"> = N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 xml:space="preserve"> - N</t>
    </r>
    <r>
      <rPr>
        <i/>
        <vertAlign val="subscript"/>
        <sz val="11"/>
        <color theme="1"/>
        <rFont val="Calibri"/>
        <family val="2"/>
        <scheme val="minor"/>
      </rPr>
      <t>LS</t>
    </r>
  </si>
  <si>
    <r>
      <t>E</t>
    </r>
    <r>
      <rPr>
        <i/>
        <vertAlign val="subscript"/>
        <sz val="11"/>
        <color theme="1"/>
        <rFont val="Calibri"/>
        <family val="2"/>
        <scheme val="minor"/>
      </rPr>
      <t>L</t>
    </r>
    <r>
      <rPr>
        <i/>
        <sz val="11"/>
        <color theme="1"/>
        <rFont val="Calibri"/>
        <family val="2"/>
        <scheme val="minor"/>
      </rPr>
      <t xml:space="preserve"> = N</t>
    </r>
    <r>
      <rPr>
        <i/>
        <vertAlign val="subscript"/>
        <sz val="11"/>
        <color theme="1"/>
        <rFont val="Calibri"/>
        <family val="2"/>
        <scheme val="minor"/>
      </rPr>
      <t>L</t>
    </r>
    <r>
      <rPr>
        <i/>
        <sz val="11"/>
        <color theme="1"/>
        <rFont val="Calibri"/>
        <family val="2"/>
        <scheme val="minor"/>
      </rPr>
      <t xml:space="preserve"> - N</t>
    </r>
    <r>
      <rPr>
        <i/>
        <vertAlign val="subscript"/>
        <sz val="11"/>
        <color theme="1"/>
        <rFont val="Calibri"/>
        <family val="2"/>
        <scheme val="minor"/>
      </rPr>
      <t>LL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</si>
  <si>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 xml:space="preserve">L </t>
    </r>
    <r>
      <rPr>
        <i/>
        <sz val="11"/>
        <color theme="1"/>
        <rFont val="Calibri"/>
        <family val="2"/>
        <scheme val="minor"/>
      </rPr>
      <t>= N</t>
    </r>
    <r>
      <rPr>
        <i/>
        <vertAlign val="subscript"/>
        <sz val="11"/>
        <color theme="1"/>
        <rFont val="Calibri"/>
        <family val="2"/>
        <scheme val="minor"/>
      </rPr>
      <t>F</t>
    </r>
    <r>
      <rPr>
        <i/>
        <sz val="11"/>
        <color theme="1"/>
        <rFont val="Calibri"/>
        <family val="2"/>
        <scheme val="minor"/>
      </rPr>
      <t xml:space="preserve"> x V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 xml:space="preserve"> x C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</si>
  <si>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LS</t>
    </r>
    <r>
      <rPr>
        <sz val="11"/>
        <color theme="1"/>
        <rFont val="Calibri"/>
        <family val="2"/>
        <scheme val="minor"/>
      </rPr>
      <t xml:space="preserve"> = (360gpd x 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x N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)/L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</si>
  <si>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 xml:space="preserve"> = (N</t>
    </r>
    <r>
      <rPr>
        <i/>
        <vertAlign val="subscript"/>
        <sz val="11"/>
        <color theme="1"/>
        <rFont val="Calibri"/>
        <family val="2"/>
        <scheme val="minor"/>
      </rPr>
      <t>F</t>
    </r>
    <r>
      <rPr>
        <i/>
        <sz val="11"/>
        <color theme="1"/>
        <rFont val="Calibri"/>
        <family val="2"/>
        <scheme val="minor"/>
      </rPr>
      <t xml:space="preserve"> x V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 xml:space="preserve"> x C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 / L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</si>
  <si>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LL</t>
    </r>
    <r>
      <rPr>
        <i/>
        <sz val="11"/>
        <color theme="1"/>
        <rFont val="Calibri"/>
        <family val="2"/>
        <scheme val="minor"/>
      </rPr>
      <t xml:space="preserve"> = 360gpd x C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x N</t>
    </r>
    <r>
      <rPr>
        <i/>
        <vertAlign val="subscript"/>
        <sz val="11"/>
        <color theme="1"/>
        <rFont val="Calibri"/>
        <family val="2"/>
        <scheme val="minor"/>
      </rPr>
      <t xml:space="preserve">W </t>
    </r>
    <r>
      <rPr>
        <i/>
        <sz val="11"/>
        <color theme="1"/>
        <rFont val="Calibri"/>
        <family val="2"/>
        <scheme val="minor"/>
      </rPr>
      <t>x (L</t>
    </r>
    <r>
      <rPr>
        <i/>
        <vertAlign val="sub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/L)</t>
    </r>
  </si>
  <si>
    <r>
      <t xml:space="preserve"> Volume of wastewater per day (B x G</t>
    </r>
    <r>
      <rPr>
        <vertAlign val="subscript"/>
        <sz val="12"/>
        <rFont val="Calibri"/>
        <family val="2"/>
        <scheme val="minor"/>
      </rPr>
      <t>B</t>
    </r>
    <r>
      <rPr>
        <sz val="12"/>
        <rFont val="Calibri"/>
        <family val="2"/>
        <scheme val="minor"/>
      </rPr>
      <t>)</t>
    </r>
  </si>
  <si>
    <r>
      <t xml:space="preserve">Input values in Inputs cells to change scenario. </t>
    </r>
    <r>
      <rPr>
        <b/>
        <sz val="11"/>
        <color rgb="FFFF0000"/>
        <rFont val="Calibri"/>
        <family val="2"/>
      </rPr>
      <t>→</t>
    </r>
  </si>
  <si>
    <t>A</t>
  </si>
  <si>
    <t xml:space="preserve">sq ft </t>
  </si>
  <si>
    <t>sq ft of unpaved common areas in subdivsion (include paved areas with stormwater facilities)</t>
  </si>
  <si>
    <t xml:space="preserve">sq ft of subdivision </t>
  </si>
  <si>
    <t>Acres</t>
  </si>
  <si>
    <r>
      <t xml:space="preserve">Convert acres of subdivision to sq ft </t>
    </r>
    <r>
      <rPr>
        <b/>
        <sz val="11"/>
        <color rgb="FFFF0000"/>
        <rFont val="Calibri"/>
        <family val="2"/>
      </rPr>
      <t>→</t>
    </r>
  </si>
  <si>
    <t xml:space="preserve">Acres of subdivision </t>
  </si>
  <si>
    <t>Square feet of subdivision</t>
  </si>
  <si>
    <t>n</t>
  </si>
  <si>
    <t>Number of lots</t>
  </si>
  <si>
    <t>Lot Size + lot's share of common areas</t>
  </si>
  <si>
    <t>Step 1</t>
  </si>
  <si>
    <t>Step 2</t>
  </si>
  <si>
    <t>Size of individual lots in subdivision</t>
  </si>
  <si>
    <t>Size of lot and lot's % of common areas</t>
  </si>
  <si>
    <t>Step 3</t>
  </si>
  <si>
    <r>
      <t xml:space="preserve">Review Outputs  </t>
    </r>
    <r>
      <rPr>
        <b/>
        <sz val="11"/>
        <color rgb="FFFF0000"/>
        <rFont val="Calibri"/>
        <family val="2"/>
      </rPr>
      <t>→</t>
    </r>
  </si>
  <si>
    <t>Step 4</t>
  </si>
  <si>
    <t>Review Limits  →</t>
  </si>
  <si>
    <t>Do not change these cells</t>
  </si>
  <si>
    <r>
      <t>L</t>
    </r>
    <r>
      <rPr>
        <vertAlign val="subscript"/>
        <sz val="11"/>
        <color theme="1"/>
        <rFont val="Calibri"/>
        <family val="2"/>
        <scheme val="minor"/>
      </rPr>
      <t>L</t>
    </r>
  </si>
  <si>
    <t>Typical minimum lot size (Table X)</t>
  </si>
  <si>
    <t>CONVERTER</t>
  </si>
  <si>
    <t>Input size of lot to be subdivided</t>
  </si>
  <si>
    <t>Input number of lots in subdivision</t>
  </si>
  <si>
    <t xml:space="preserve">Input area of paved surfaces in subdivision </t>
  </si>
  <si>
    <t>Instructions</t>
  </si>
  <si>
    <t>Details</t>
  </si>
  <si>
    <t>Input number of bedrooms per lot</t>
  </si>
  <si>
    <t xml:space="preserve">Input denitrification factor from treatment </t>
  </si>
  <si>
    <t>Input denitrification factor from soil</t>
  </si>
  <si>
    <r>
      <t xml:space="preserve">Do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color rgb="FFFF0000"/>
        <rFont val="Calibri"/>
        <family val="2"/>
        <scheme val="minor"/>
      </rPr>
      <t xml:space="preserve"> Change Values Below This Point</t>
    </r>
  </si>
  <si>
    <t>These are the N Limits computed based on provided Inputs</t>
  </si>
  <si>
    <t>These are the Outputs computed from the provided Inputs</t>
  </si>
  <si>
    <t>Step 5</t>
  </si>
  <si>
    <r>
      <t xml:space="preserve">Review OSS/SITE  </t>
    </r>
    <r>
      <rPr>
        <b/>
        <sz val="11"/>
        <color rgb="FFFF0000"/>
        <rFont val="Calibri"/>
        <family val="2"/>
      </rPr>
      <t>→</t>
    </r>
  </si>
  <si>
    <t>Step 6</t>
  </si>
  <si>
    <t>These are the OSS/Site N contributions computed based on provided Inputs</t>
  </si>
  <si>
    <t>Review Exceedances</t>
  </si>
  <si>
    <t xml:space="preserve">These are the N exceedances of the OSS/Site based on provided Inputs </t>
  </si>
  <si>
    <t>If exceedances are positive values Inputs must be modified to lower N contributions, lot sizes, or detrification factor of treatment or soil</t>
  </si>
  <si>
    <t>lb N per day from OSS</t>
  </si>
  <si>
    <t>Exceedance of nitrogen limit per day per acre</t>
  </si>
  <si>
    <t>Maximum Allowable TN Per Land Area Per Day</t>
  </si>
  <si>
    <t>lb TN/acre</t>
  </si>
  <si>
    <t>mg N/ sq ft</t>
  </si>
  <si>
    <t>Soil Type</t>
  </si>
  <si>
    <r>
      <rPr>
        <b/>
        <u/>
        <sz val="11"/>
        <color rgb="FFFF0000"/>
        <rFont val="Calibri"/>
        <family val="2"/>
        <scheme val="minor"/>
      </rPr>
      <t>Don't</t>
    </r>
    <r>
      <rPr>
        <b/>
        <sz val="11"/>
        <color rgb="FFFF0000"/>
        <rFont val="Calibri"/>
        <family val="2"/>
        <scheme val="minor"/>
      </rPr>
      <t xml:space="preserve"> input anything here </t>
    </r>
    <r>
      <rPr>
        <b/>
        <sz val="11"/>
        <color rgb="FFFF0000"/>
        <rFont val="Calibri"/>
        <family val="2"/>
      </rPr>
      <t>→</t>
    </r>
  </si>
  <si>
    <t>Input acres to get sq ft in next cell down</t>
  </si>
  <si>
    <t>Input area of common areas in subdivision</t>
  </si>
  <si>
    <t>Input soil type in subdivision</t>
  </si>
  <si>
    <t>sq ft of paved (&amp; surface water, ect) areas in common areas. Do not include paved areas with stormwater facilities</t>
  </si>
  <si>
    <t>Soil Type 1</t>
  </si>
  <si>
    <t>Max number of lots</t>
  </si>
  <si>
    <t>Denitrification factor</t>
  </si>
  <si>
    <t>Beds per lot</t>
  </si>
  <si>
    <t>Soil Type 2</t>
  </si>
  <si>
    <t>Soil Type 3</t>
  </si>
  <si>
    <t>Lot Sizes</t>
  </si>
  <si>
    <t>Soil Type 4</t>
  </si>
  <si>
    <t>Soil Type 5</t>
  </si>
  <si>
    <t>or</t>
  </si>
  <si>
    <t>Soil Type 6</t>
  </si>
  <si>
    <t>Maximum Lots Per Acre by Soil Type</t>
  </si>
  <si>
    <t>Or</t>
  </si>
  <si>
    <r>
      <t>N</t>
    </r>
    <r>
      <rPr>
        <i/>
        <vertAlign val="subscript"/>
        <sz val="11"/>
        <color theme="1"/>
        <rFont val="Calibri"/>
        <family val="2"/>
        <scheme val="minor"/>
      </rPr>
      <t>LS</t>
    </r>
    <r>
      <rPr>
        <i/>
        <sz val="11"/>
        <color theme="1"/>
        <rFont val="Calibri"/>
        <family val="2"/>
        <scheme val="minor"/>
      </rPr>
      <t xml:space="preserve"> = (360gpd x C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x N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>)/L</t>
    </r>
  </si>
  <si>
    <t>These are the maximum number of lots an acre (by soil type) can be subdivided into without exceeding the nitrogen limit, assuming 50% denitrification by treatment. The goal is a minimum of 5 lots per acre.</t>
  </si>
  <si>
    <t>3@ 3 beds &amp; 2@ 2 beds</t>
  </si>
  <si>
    <t>2@ 3 beds &amp; 3@ 2 beds</t>
  </si>
  <si>
    <t xml:space="preserve">All soil types can accommodate 5 lots per acre if some or all lots are limited to 2 bedrooms. </t>
  </si>
  <si>
    <t>3@ 2 beds &amp; 2@ 3 beds</t>
  </si>
  <si>
    <t>mg N/ acre</t>
  </si>
  <si>
    <t>lb N/acre</t>
  </si>
  <si>
    <t xml:space="preserve"> Volume of wastewater per day per OSS </t>
  </si>
  <si>
    <t xml:space="preserve"> Volume of wastewater per day per OSS</t>
  </si>
  <si>
    <t xml:space="preserve"> Volume of wastewater per day for all lots in subdivsion </t>
  </si>
  <si>
    <t>mg N per day from OSS per lot</t>
  </si>
  <si>
    <t>mg N per day from all OSS in subdivision</t>
  </si>
  <si>
    <t>Exceedance of nitrogen limit per day for subdivision</t>
  </si>
  <si>
    <t>Nitrogen limit per day for whole subdivision</t>
  </si>
  <si>
    <r>
      <t>L</t>
    </r>
    <r>
      <rPr>
        <vertAlign val="subscript"/>
        <sz val="11"/>
        <color theme="1"/>
        <rFont val="Calibri"/>
        <family val="2"/>
        <scheme val="minor"/>
      </rPr>
      <t>N</t>
    </r>
  </si>
  <si>
    <r>
      <t>N</t>
    </r>
    <r>
      <rPr>
        <vertAlign val="subscript"/>
        <sz val="11"/>
        <color theme="1"/>
        <rFont val="Calibri"/>
        <family val="2"/>
        <scheme val="minor"/>
      </rPr>
      <t>LA</t>
    </r>
  </si>
  <si>
    <r>
      <t>N</t>
    </r>
    <r>
      <rPr>
        <vertAlign val="subscript"/>
        <sz val="11"/>
        <color theme="1"/>
        <rFont val="Calibri"/>
        <family val="2"/>
        <scheme val="minor"/>
      </rPr>
      <t>LALB</t>
    </r>
  </si>
  <si>
    <r>
      <t>N</t>
    </r>
    <r>
      <rPr>
        <vertAlign val="subscript"/>
        <sz val="11"/>
        <color theme="1"/>
        <rFont val="Calibri"/>
        <family val="2"/>
        <scheme val="minor"/>
      </rPr>
      <t>LSU</t>
    </r>
  </si>
  <si>
    <r>
      <t>N</t>
    </r>
    <r>
      <rPr>
        <vertAlign val="subscript"/>
        <sz val="11"/>
        <color theme="1"/>
        <rFont val="Calibri"/>
        <family val="2"/>
        <scheme val="minor"/>
      </rPr>
      <t>SU</t>
    </r>
  </si>
  <si>
    <r>
      <t>V</t>
    </r>
    <r>
      <rPr>
        <vertAlign val="subscript"/>
        <sz val="11"/>
        <color theme="1"/>
        <rFont val="Calibri"/>
        <family val="2"/>
        <scheme val="minor"/>
      </rPr>
      <t>GSU</t>
    </r>
  </si>
  <si>
    <r>
      <t>V</t>
    </r>
    <r>
      <rPr>
        <vertAlign val="subscript"/>
        <sz val="11"/>
        <color theme="1"/>
        <rFont val="Calibri"/>
        <family val="2"/>
        <scheme val="minor"/>
      </rPr>
      <t>LSU</t>
    </r>
  </si>
  <si>
    <r>
      <t>E</t>
    </r>
    <r>
      <rPr>
        <vertAlign val="subscript"/>
        <sz val="11"/>
        <color theme="1"/>
        <rFont val="Calibri"/>
        <family val="2"/>
        <scheme val="minor"/>
      </rPr>
      <t>A</t>
    </r>
  </si>
  <si>
    <r>
      <t>E</t>
    </r>
    <r>
      <rPr>
        <vertAlign val="subscript"/>
        <sz val="11"/>
        <color theme="1"/>
        <rFont val="Calibri"/>
        <family val="2"/>
        <scheme val="minor"/>
      </rPr>
      <t>SU</t>
    </r>
  </si>
  <si>
    <r>
      <t>E</t>
    </r>
    <r>
      <rPr>
        <vertAlign val="subscript"/>
        <sz val="11"/>
        <color theme="1"/>
        <rFont val="Calibri"/>
        <family val="2"/>
        <scheme val="minor"/>
      </rPr>
      <t>ALB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</si>
  <si>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L</t>
    </r>
    <r>
      <rPr>
        <i/>
        <sz val="11"/>
        <color theme="1"/>
        <rFont val="Calibri"/>
        <family val="2"/>
        <scheme val="minor"/>
      </rPr>
      <t xml:space="preserve"> = V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 xml:space="preserve"> x C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</si>
  <si>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GSU </t>
    </r>
    <r>
      <rPr>
        <i/>
        <sz val="11"/>
        <color theme="1"/>
        <rFont val="Calibri"/>
        <family val="2"/>
        <scheme val="minor"/>
      </rPr>
      <t xml:space="preserve"> = 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</t>
    </r>
    <r>
      <rPr>
        <i/>
        <vertAlign val="subscript"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 xml:space="preserve"> x V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</si>
  <si>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LSU</t>
    </r>
    <r>
      <rPr>
        <i/>
        <sz val="11"/>
        <color theme="1"/>
        <rFont val="Calibri"/>
        <family val="2"/>
        <scheme val="minor"/>
      </rPr>
      <t xml:space="preserve"> = L</t>
    </r>
    <r>
      <rPr>
        <i/>
        <vertAlign val="subscript"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 xml:space="preserve"> x V</t>
    </r>
    <r>
      <rPr>
        <i/>
        <vertAlign val="subscript"/>
        <sz val="11"/>
        <color theme="1"/>
        <rFont val="Calibri"/>
        <family val="2"/>
        <scheme val="minor"/>
      </rPr>
      <t>L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</si>
  <si>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LA</t>
    </r>
    <r>
      <rPr>
        <i/>
        <sz val="11"/>
        <color theme="1"/>
        <rFont val="Calibri"/>
        <family val="2"/>
        <scheme val="minor"/>
      </rPr>
      <t xml:space="preserve"> = ((360gpd x C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x N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>)/L) x C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</si>
  <si>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LALB</t>
    </r>
    <r>
      <rPr>
        <i/>
        <sz val="11"/>
        <color theme="1"/>
        <rFont val="Calibri"/>
        <family val="2"/>
        <scheme val="minor"/>
      </rPr>
      <t xml:space="preserve"> = ((360gpd x C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x N</t>
    </r>
    <r>
      <rPr>
        <i/>
        <vertAlign val="subscript"/>
        <sz val="11"/>
        <color theme="1"/>
        <rFont val="Calibri"/>
        <family val="2"/>
        <scheme val="minor"/>
      </rPr>
      <t>W</t>
    </r>
    <r>
      <rPr>
        <i/>
        <sz val="11"/>
        <color theme="1"/>
        <rFont val="Calibri"/>
        <family val="2"/>
        <scheme val="minor"/>
      </rPr>
      <t>)/L) x (C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/C</t>
    </r>
    <r>
      <rPr>
        <i/>
        <vertAlign val="sub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</si>
  <si>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LSU</t>
    </r>
    <r>
      <rPr>
        <i/>
        <sz val="11"/>
        <color theme="1"/>
        <rFont val="Calibri"/>
        <family val="2"/>
        <scheme val="minor"/>
      </rPr>
      <t xml:space="preserve"> = 360gpd x C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x N</t>
    </r>
    <r>
      <rPr>
        <i/>
        <vertAlign val="subscript"/>
        <sz val="11"/>
        <color theme="1"/>
        <rFont val="Calibri"/>
        <family val="2"/>
        <scheme val="minor"/>
      </rPr>
      <t xml:space="preserve">W </t>
    </r>
    <r>
      <rPr>
        <i/>
        <sz val="11"/>
        <color theme="1"/>
        <rFont val="Calibri"/>
        <family val="2"/>
        <scheme val="minor"/>
      </rPr>
      <t>x (L</t>
    </r>
    <r>
      <rPr>
        <i/>
        <vertAlign val="sub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/L) x L</t>
    </r>
    <r>
      <rPr>
        <i/>
        <vertAlign val="subscript"/>
        <sz val="11"/>
        <color theme="1"/>
        <rFont val="Calibri"/>
        <family val="2"/>
        <scheme val="minor"/>
      </rPr>
      <t>N</t>
    </r>
  </si>
  <si>
    <r>
      <t>N</t>
    </r>
    <r>
      <rPr>
        <vertAlign val="subscript"/>
        <sz val="11"/>
        <color theme="1"/>
        <rFont val="Calibri"/>
        <family val="2"/>
        <scheme val="minor"/>
      </rPr>
      <t>SU</t>
    </r>
    <r>
      <rPr>
        <sz val="11"/>
        <color theme="1"/>
        <rFont val="Calibri"/>
        <family val="2"/>
        <scheme val="minor"/>
      </rPr>
      <t xml:space="preserve"> = N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x V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x 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x L</t>
    </r>
    <r>
      <rPr>
        <vertAlign val="subscript"/>
        <sz val="11"/>
        <color theme="1"/>
        <rFont val="Calibri"/>
        <family val="2"/>
        <scheme val="minor"/>
      </rPr>
      <t>N</t>
    </r>
  </si>
  <si>
    <r>
      <t>E</t>
    </r>
    <r>
      <rPr>
        <i/>
        <vertAlign val="sub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= E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 xml:space="preserve"> x C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</si>
  <si>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E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 xml:space="preserve"> x (C</t>
    </r>
    <r>
      <rPr>
        <i/>
        <vertAlign val="sub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/C</t>
    </r>
    <r>
      <rPr>
        <i/>
        <vertAlign val="sub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</t>
    </r>
  </si>
  <si>
    <r>
      <t>E</t>
    </r>
    <r>
      <rPr>
        <i/>
        <vertAlign val="subscript"/>
        <sz val="11"/>
        <color theme="1"/>
        <rFont val="Calibri"/>
        <family val="2"/>
        <scheme val="minor"/>
      </rPr>
      <t xml:space="preserve">SU </t>
    </r>
    <r>
      <rPr>
        <i/>
        <sz val="11"/>
        <color theme="1"/>
        <rFont val="Calibri"/>
        <family val="2"/>
        <scheme val="minor"/>
      </rPr>
      <t>= N</t>
    </r>
    <r>
      <rPr>
        <i/>
        <vertAlign val="subscript"/>
        <sz val="11"/>
        <color theme="1"/>
        <rFont val="Calibri"/>
        <family val="2"/>
        <scheme val="minor"/>
      </rPr>
      <t>SU</t>
    </r>
    <r>
      <rPr>
        <i/>
        <sz val="11"/>
        <color theme="1"/>
        <rFont val="Calibri"/>
        <family val="2"/>
        <scheme val="minor"/>
      </rPr>
      <t xml:space="preserve"> - N</t>
    </r>
    <r>
      <rPr>
        <i/>
        <vertAlign val="subscript"/>
        <sz val="11"/>
        <color theme="1"/>
        <rFont val="Calibri"/>
        <family val="2"/>
        <scheme val="minor"/>
      </rPr>
      <t>LSU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</si>
</sst>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9" fillId="3" borderId="4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2" fillId="4" borderId="2" xfId="3" applyFont="1"/>
    <xf numFmtId="0" fontId="2" fillId="4" borderId="2" xfId="3" applyFont="1" applyAlignment="1">
      <alignment horizontal="right"/>
    </xf>
    <xf numFmtId="0" fontId="3" fillId="3" borderId="1" xfId="2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2" fillId="2" borderId="5" xfId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4" borderId="7" xfId="3" applyFont="1" applyBorder="1"/>
    <xf numFmtId="0" fontId="4" fillId="0" borderId="6" xfId="0" applyFont="1" applyBorder="1"/>
    <xf numFmtId="0" fontId="2" fillId="2" borderId="8" xfId="1" applyBorder="1"/>
    <xf numFmtId="0" fontId="3" fillId="3" borderId="10" xfId="2" applyBorder="1"/>
    <xf numFmtId="0" fontId="4" fillId="0" borderId="3" xfId="0" applyFont="1" applyBorder="1" applyAlignment="1">
      <alignment horizontal="center"/>
    </xf>
    <xf numFmtId="0" fontId="8" fillId="0" borderId="0" xfId="0" applyFont="1"/>
    <xf numFmtId="0" fontId="4" fillId="0" borderId="3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/>
    <xf numFmtId="0" fontId="0" fillId="0" borderId="3" xfId="0" applyBorder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 vertical="top" wrapText="1"/>
    </xf>
    <xf numFmtId="0" fontId="0" fillId="0" borderId="11" xfId="0" applyBorder="1"/>
    <xf numFmtId="0" fontId="0" fillId="0" borderId="11" xfId="0" applyBorder="1" applyAlignment="1">
      <alignment vertical="top" wrapText="1"/>
    </xf>
    <xf numFmtId="0" fontId="2" fillId="2" borderId="3" xfId="1" applyBorder="1"/>
    <xf numFmtId="0" fontId="3" fillId="3" borderId="3" xfId="2" applyBorder="1"/>
    <xf numFmtId="0" fontId="17" fillId="3" borderId="13" xfId="4" applyFont="1" applyBorder="1" applyAlignment="1">
      <alignment horizontal="center"/>
    </xf>
    <xf numFmtId="0" fontId="18" fillId="5" borderId="14" xfId="5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0" fontId="2" fillId="2" borderId="1" xfId="1"/>
    <xf numFmtId="0" fontId="19" fillId="0" borderId="0" xfId="0" applyFont="1"/>
    <xf numFmtId="0" fontId="14" fillId="0" borderId="0" xfId="0" applyFont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15" fillId="0" borderId="0" xfId="0" applyFont="1" applyAlignment="1">
      <alignment wrapText="1"/>
    </xf>
    <xf numFmtId="0" fontId="21" fillId="0" borderId="0" xfId="0" applyFont="1"/>
    <xf numFmtId="0" fontId="0" fillId="9" borderId="3" xfId="0" applyFill="1" applyBorder="1"/>
    <xf numFmtId="0" fontId="0" fillId="8" borderId="3" xfId="0" applyFill="1" applyBorder="1"/>
    <xf numFmtId="0" fontId="14" fillId="8" borderId="3" xfId="0" applyFont="1" applyFill="1" applyBorder="1"/>
    <xf numFmtId="2" fontId="0" fillId="7" borderId="3" xfId="0" applyNumberForma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">
    <cellStyle name="Calculation" xfId="2" builtinId="22"/>
    <cellStyle name="Heading 4" xfId="5" builtinId="19"/>
    <cellStyle name="Input" xfId="1" builtinId="20"/>
    <cellStyle name="Normal" xfId="0" builtinId="0"/>
    <cellStyle name="Note" xfId="3" builtinId="1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78"/>
  <sheetViews>
    <sheetView tabSelected="1" zoomScaleNormal="100" workbookViewId="0">
      <selection activeCell="D43" sqref="D43"/>
    </sheetView>
  </sheetViews>
  <sheetFormatPr defaultRowHeight="14.4" x14ac:dyDescent="0.3"/>
  <cols>
    <col min="2" max="2" width="37.44140625" customWidth="1"/>
    <col min="3" max="3" width="14.5546875" customWidth="1"/>
    <col min="4" max="4" width="40.6640625" customWidth="1"/>
    <col min="5" max="5" width="16.109375" customWidth="1"/>
    <col min="6" max="7" width="16.33203125" bestFit="1" customWidth="1"/>
    <col min="8" max="8" width="34.5546875" customWidth="1"/>
    <col min="9" max="9" width="21.109375" customWidth="1"/>
    <col min="10" max="10" width="15.109375" bestFit="1" customWidth="1"/>
    <col min="11" max="11" width="15.44140625" customWidth="1"/>
    <col min="12" max="12" width="10.6640625" customWidth="1"/>
    <col min="13" max="13" width="19.5546875" customWidth="1"/>
    <col min="14" max="14" width="10.6640625" customWidth="1"/>
  </cols>
  <sheetData>
    <row r="1" spans="2:13" x14ac:dyDescent="0.3">
      <c r="B1" s="35" t="s">
        <v>107</v>
      </c>
      <c r="E1" t="s">
        <v>103</v>
      </c>
    </row>
    <row r="2" spans="2:13" x14ac:dyDescent="0.3">
      <c r="B2" s="21" t="s">
        <v>92</v>
      </c>
      <c r="D2" s="35" t="s">
        <v>108</v>
      </c>
      <c r="E2" s="14" t="s">
        <v>0</v>
      </c>
      <c r="F2" s="14" t="s">
        <v>1</v>
      </c>
      <c r="G2" s="14" t="s">
        <v>2</v>
      </c>
      <c r="H2" s="14" t="s">
        <v>3</v>
      </c>
    </row>
    <row r="3" spans="2:13" x14ac:dyDescent="0.3">
      <c r="B3" s="21" t="s">
        <v>86</v>
      </c>
      <c r="D3" s="36" t="s">
        <v>129</v>
      </c>
      <c r="E3" s="34">
        <v>1</v>
      </c>
      <c r="G3" t="s">
        <v>85</v>
      </c>
      <c r="H3" t="s">
        <v>87</v>
      </c>
    </row>
    <row r="4" spans="2:13" x14ac:dyDescent="0.3">
      <c r="D4" s="21" t="s">
        <v>128</v>
      </c>
      <c r="E4" s="4">
        <f>E3*J10</f>
        <v>43560</v>
      </c>
      <c r="G4" t="s">
        <v>11</v>
      </c>
      <c r="H4" t="s">
        <v>88</v>
      </c>
    </row>
    <row r="5" spans="2:13" x14ac:dyDescent="0.3">
      <c r="D5" s="36"/>
    </row>
    <row r="6" spans="2:13" x14ac:dyDescent="0.3">
      <c r="D6" s="36"/>
      <c r="E6" t="s">
        <v>61</v>
      </c>
      <c r="J6" t="s">
        <v>62</v>
      </c>
    </row>
    <row r="7" spans="2:13" x14ac:dyDescent="0.3">
      <c r="B7" s="21" t="s">
        <v>93</v>
      </c>
      <c r="D7" s="36"/>
      <c r="E7" s="14" t="s">
        <v>0</v>
      </c>
      <c r="F7" s="14" t="s">
        <v>1</v>
      </c>
      <c r="G7" s="14" t="s">
        <v>2</v>
      </c>
      <c r="H7" s="14" t="s">
        <v>3</v>
      </c>
      <c r="J7" s="14" t="s">
        <v>0</v>
      </c>
      <c r="K7" s="14" t="s">
        <v>1</v>
      </c>
      <c r="L7" s="14" t="s">
        <v>2</v>
      </c>
      <c r="M7" s="14" t="s">
        <v>3</v>
      </c>
    </row>
    <row r="8" spans="2:13" ht="15.6" x14ac:dyDescent="0.35">
      <c r="B8" s="21" t="s">
        <v>80</v>
      </c>
      <c r="D8" s="36" t="s">
        <v>104</v>
      </c>
      <c r="E8" s="27">
        <v>43560</v>
      </c>
      <c r="F8" s="12" t="s">
        <v>81</v>
      </c>
      <c r="G8" s="22" t="s">
        <v>82</v>
      </c>
      <c r="H8" s="25" t="s">
        <v>84</v>
      </c>
      <c r="J8" s="13">
        <v>60</v>
      </c>
      <c r="K8" s="12" t="s">
        <v>13</v>
      </c>
      <c r="L8" s="11" t="s">
        <v>14</v>
      </c>
      <c r="M8" t="s">
        <v>15</v>
      </c>
    </row>
    <row r="9" spans="2:13" ht="19.5" customHeight="1" x14ac:dyDescent="0.35">
      <c r="D9" s="36" t="s">
        <v>105</v>
      </c>
      <c r="E9" s="27">
        <v>3</v>
      </c>
      <c r="F9" s="12" t="s">
        <v>161</v>
      </c>
      <c r="G9" s="22" t="s">
        <v>89</v>
      </c>
      <c r="H9" s="25" t="s">
        <v>90</v>
      </c>
      <c r="J9" s="3">
        <v>120</v>
      </c>
      <c r="K9" s="12" t="s">
        <v>16</v>
      </c>
      <c r="L9" s="11" t="s">
        <v>17</v>
      </c>
      <c r="M9" t="s">
        <v>18</v>
      </c>
    </row>
    <row r="10" spans="2:13" ht="43.8" x14ac:dyDescent="0.35">
      <c r="D10" s="36" t="s">
        <v>106</v>
      </c>
      <c r="E10" s="27">
        <v>0</v>
      </c>
      <c r="F10" s="12"/>
      <c r="G10" s="22" t="s">
        <v>82</v>
      </c>
      <c r="H10" s="39" t="s">
        <v>132</v>
      </c>
      <c r="J10" s="2">
        <v>43560</v>
      </c>
      <c r="K10" s="12" t="s">
        <v>29</v>
      </c>
      <c r="L10" s="11" t="s">
        <v>28</v>
      </c>
      <c r="M10" t="s">
        <v>30</v>
      </c>
    </row>
    <row r="11" spans="2:13" ht="45.75" customHeight="1" x14ac:dyDescent="0.35">
      <c r="B11" s="18"/>
      <c r="D11" s="36" t="s">
        <v>130</v>
      </c>
      <c r="E11" s="27">
        <v>0</v>
      </c>
      <c r="F11" s="12"/>
      <c r="G11" s="22" t="s">
        <v>11</v>
      </c>
      <c r="H11" s="26" t="s">
        <v>83</v>
      </c>
      <c r="J11" s="2">
        <v>3.7854100000000002</v>
      </c>
      <c r="K11" s="12" t="s">
        <v>31</v>
      </c>
      <c r="L11" s="11" t="s">
        <v>28</v>
      </c>
      <c r="M11" t="s">
        <v>32</v>
      </c>
    </row>
    <row r="12" spans="2:13" ht="15.6" x14ac:dyDescent="0.35">
      <c r="D12" s="36" t="s">
        <v>109</v>
      </c>
      <c r="E12" s="27">
        <v>2</v>
      </c>
      <c r="F12" s="12" t="s">
        <v>5</v>
      </c>
      <c r="G12" s="11" t="s">
        <v>6</v>
      </c>
      <c r="H12" s="25" t="s">
        <v>7</v>
      </c>
      <c r="J12" s="2">
        <v>453592</v>
      </c>
      <c r="K12" s="12" t="s">
        <v>33</v>
      </c>
      <c r="L12" s="11" t="s">
        <v>28</v>
      </c>
      <c r="M12" t="s">
        <v>34</v>
      </c>
    </row>
    <row r="13" spans="2:13" ht="16.5" customHeight="1" x14ac:dyDescent="0.3">
      <c r="D13" s="36" t="s">
        <v>131</v>
      </c>
      <c r="E13" s="27">
        <v>6</v>
      </c>
      <c r="F13" s="12" t="s">
        <v>8</v>
      </c>
      <c r="G13" s="11" t="s">
        <v>9</v>
      </c>
      <c r="H13" s="25" t="s">
        <v>4</v>
      </c>
    </row>
    <row r="14" spans="2:13" ht="15.6" x14ac:dyDescent="0.35">
      <c r="B14" s="18"/>
      <c r="D14" s="36" t="s">
        <v>110</v>
      </c>
      <c r="E14" s="27">
        <v>0.5</v>
      </c>
      <c r="F14" s="12" t="s">
        <v>21</v>
      </c>
      <c r="G14" s="11" t="s">
        <v>22</v>
      </c>
      <c r="H14" s="25" t="s">
        <v>23</v>
      </c>
    </row>
    <row r="15" spans="2:13" ht="15.6" x14ac:dyDescent="0.35">
      <c r="D15" s="36" t="s">
        <v>111</v>
      </c>
      <c r="E15" s="27">
        <v>0</v>
      </c>
      <c r="F15" s="12" t="s">
        <v>39</v>
      </c>
      <c r="G15" s="11" t="s">
        <v>22</v>
      </c>
      <c r="H15" s="25" t="s">
        <v>40</v>
      </c>
    </row>
    <row r="18" spans="2:11" x14ac:dyDescent="0.3">
      <c r="D18" s="21" t="s">
        <v>112</v>
      </c>
      <c r="E18" t="s">
        <v>63</v>
      </c>
      <c r="F18" s="7"/>
    </row>
    <row r="19" spans="2:11" x14ac:dyDescent="0.3">
      <c r="B19" s="21" t="s">
        <v>96</v>
      </c>
      <c r="E19" s="14" t="s">
        <v>0</v>
      </c>
      <c r="F19" s="14" t="s">
        <v>1</v>
      </c>
      <c r="G19" s="14" t="s">
        <v>2</v>
      </c>
      <c r="H19" s="14" t="s">
        <v>3</v>
      </c>
    </row>
    <row r="20" spans="2:11" ht="32.25" customHeight="1" x14ac:dyDescent="0.35">
      <c r="B20" s="21" t="s">
        <v>97</v>
      </c>
      <c r="D20" t="s">
        <v>94</v>
      </c>
      <c r="E20" s="28">
        <f>(E8-E11-E10)/E9</f>
        <v>14520</v>
      </c>
      <c r="F20" s="12" t="s">
        <v>101</v>
      </c>
      <c r="G20" s="22" t="s">
        <v>11</v>
      </c>
      <c r="H20" t="s">
        <v>12</v>
      </c>
      <c r="K20" s="7"/>
    </row>
    <row r="21" spans="2:11" ht="15.6" x14ac:dyDescent="0.35">
      <c r="B21" s="23" t="s">
        <v>100</v>
      </c>
      <c r="D21" t="s">
        <v>95</v>
      </c>
      <c r="E21" s="28">
        <f>E20+(E11/E9)</f>
        <v>14520</v>
      </c>
      <c r="F21" s="12" t="s">
        <v>10</v>
      </c>
      <c r="G21" s="11" t="s">
        <v>11</v>
      </c>
      <c r="H21" t="s">
        <v>91</v>
      </c>
    </row>
    <row r="22" spans="2:11" ht="50.25" customHeight="1" x14ac:dyDescent="0.3">
      <c r="B22" s="24" t="s">
        <v>114</v>
      </c>
      <c r="D22" t="s">
        <v>102</v>
      </c>
      <c r="E22" s="28">
        <f>IF(E13=1,E56,IF(E13=2,F56,IF(E13=3,G56,IF(E13=4,H56,IF(E13=5,I56,IF(E13=6,J56,0))))))</f>
        <v>23000</v>
      </c>
      <c r="F22" s="12" t="s">
        <v>19</v>
      </c>
      <c r="G22" s="11" t="s">
        <v>11</v>
      </c>
      <c r="H22" s="5" t="s">
        <v>20</v>
      </c>
    </row>
    <row r="23" spans="2:11" ht="15.6" x14ac:dyDescent="0.35">
      <c r="D23" s="18" t="s">
        <v>70</v>
      </c>
      <c r="E23" s="28">
        <f>E12*J9</f>
        <v>240</v>
      </c>
      <c r="F23" s="12" t="s">
        <v>27</v>
      </c>
      <c r="G23" s="11" t="s">
        <v>17</v>
      </c>
      <c r="H23" s="6" t="s">
        <v>154</v>
      </c>
    </row>
    <row r="24" spans="2:11" ht="21.75" customHeight="1" x14ac:dyDescent="0.35">
      <c r="D24" s="18" t="s">
        <v>171</v>
      </c>
      <c r="E24" s="28">
        <f>E23*J11</f>
        <v>908.49840000000006</v>
      </c>
      <c r="F24" s="12" t="s">
        <v>43</v>
      </c>
      <c r="G24" s="11" t="s">
        <v>44</v>
      </c>
      <c r="H24" s="6" t="s">
        <v>155</v>
      </c>
    </row>
    <row r="25" spans="2:11" ht="21.75" customHeight="1" x14ac:dyDescent="0.35">
      <c r="D25" s="46" t="s">
        <v>172</v>
      </c>
      <c r="E25" s="28">
        <f>E23*E9</f>
        <v>720</v>
      </c>
      <c r="F25" s="12" t="s">
        <v>166</v>
      </c>
      <c r="G25" s="11" t="s">
        <v>17</v>
      </c>
      <c r="H25" s="6" t="s">
        <v>156</v>
      </c>
    </row>
    <row r="26" spans="2:11" ht="21.75" customHeight="1" x14ac:dyDescent="0.35">
      <c r="D26" s="46" t="s">
        <v>173</v>
      </c>
      <c r="E26" s="28">
        <f>E9*E24</f>
        <v>2725.4952000000003</v>
      </c>
      <c r="F26" s="12" t="s">
        <v>167</v>
      </c>
      <c r="G26" s="11" t="s">
        <v>44</v>
      </c>
      <c r="H26" s="6" t="s">
        <v>156</v>
      </c>
    </row>
    <row r="27" spans="2:11" x14ac:dyDescent="0.3">
      <c r="D27" s="18"/>
    </row>
    <row r="28" spans="2:11" x14ac:dyDescent="0.3">
      <c r="D28" s="18"/>
    </row>
    <row r="29" spans="2:11" x14ac:dyDescent="0.3">
      <c r="D29" s="18"/>
      <c r="E29" t="s">
        <v>65</v>
      </c>
    </row>
    <row r="30" spans="2:11" ht="20.25" customHeight="1" x14ac:dyDescent="0.3">
      <c r="B30" s="21" t="s">
        <v>98</v>
      </c>
      <c r="D30" s="18"/>
      <c r="E30" s="14" t="s">
        <v>0</v>
      </c>
      <c r="F30" s="14" t="s">
        <v>1</v>
      </c>
      <c r="G30" s="14" t="s">
        <v>2</v>
      </c>
      <c r="H30" s="14" t="s">
        <v>3</v>
      </c>
    </row>
    <row r="31" spans="2:11" ht="35.25" customHeight="1" x14ac:dyDescent="0.35">
      <c r="B31" s="21" t="s">
        <v>99</v>
      </c>
      <c r="D31" s="18" t="s">
        <v>146</v>
      </c>
      <c r="E31" s="16">
        <f xml:space="preserve"> (360*J11*J8)/E22</f>
        <v>3.5549937391304356</v>
      </c>
      <c r="F31" s="12" t="s">
        <v>60</v>
      </c>
      <c r="G31" s="11" t="s">
        <v>35</v>
      </c>
      <c r="H31" t="s">
        <v>58</v>
      </c>
    </row>
    <row r="32" spans="2:11" ht="39" customHeight="1" x14ac:dyDescent="0.35">
      <c r="B32" s="23" t="s">
        <v>100</v>
      </c>
      <c r="D32" s="18" t="s">
        <v>78</v>
      </c>
      <c r="E32" s="4">
        <f>360*J11*J8*(E21/E22)</f>
        <v>51618.509092173917</v>
      </c>
      <c r="F32" s="12" t="s">
        <v>37</v>
      </c>
      <c r="G32" s="11" t="s">
        <v>35</v>
      </c>
      <c r="H32" t="s">
        <v>38</v>
      </c>
    </row>
    <row r="33" spans="2:9" ht="39" customHeight="1" x14ac:dyDescent="0.35">
      <c r="B33" s="23"/>
      <c r="D33" s="46" t="s">
        <v>174</v>
      </c>
      <c r="E33" s="4">
        <f>E31*D69</f>
        <v>154855.52727652178</v>
      </c>
      <c r="F33" s="12" t="s">
        <v>162</v>
      </c>
      <c r="G33" s="11" t="s">
        <v>35</v>
      </c>
      <c r="H33" t="s">
        <v>36</v>
      </c>
    </row>
    <row r="34" spans="2:9" ht="34.5" customHeight="1" x14ac:dyDescent="0.35">
      <c r="B34" s="37" t="s">
        <v>113</v>
      </c>
      <c r="D34" s="18" t="s">
        <v>175</v>
      </c>
      <c r="E34" s="4">
        <f>E31*J10/J12</f>
        <v>0.34139827703425496</v>
      </c>
      <c r="F34" s="12" t="s">
        <v>163</v>
      </c>
      <c r="G34" s="11" t="s">
        <v>51</v>
      </c>
      <c r="H34" t="s">
        <v>36</v>
      </c>
    </row>
    <row r="35" spans="2:9" ht="34.5" customHeight="1" x14ac:dyDescent="0.35">
      <c r="B35" s="37"/>
      <c r="D35" s="18" t="s">
        <v>176</v>
      </c>
      <c r="E35" s="4">
        <f>E32*E9</f>
        <v>154855.52727652175</v>
      </c>
      <c r="F35" s="12" t="s">
        <v>164</v>
      </c>
      <c r="G35" s="11" t="s">
        <v>35</v>
      </c>
      <c r="H35" t="s">
        <v>160</v>
      </c>
    </row>
    <row r="36" spans="2:9" ht="15.6" x14ac:dyDescent="0.3">
      <c r="B36" s="18"/>
      <c r="D36" s="18"/>
      <c r="I36" s="20"/>
    </row>
    <row r="37" spans="2:9" x14ac:dyDescent="0.3">
      <c r="E37" t="s">
        <v>64</v>
      </c>
    </row>
    <row r="38" spans="2:9" x14ac:dyDescent="0.3">
      <c r="B38" s="21" t="s">
        <v>115</v>
      </c>
      <c r="E38" s="14" t="s">
        <v>0</v>
      </c>
      <c r="F38" s="14" t="s">
        <v>1</v>
      </c>
      <c r="G38" s="14" t="s">
        <v>2</v>
      </c>
      <c r="H38" s="14" t="s">
        <v>3</v>
      </c>
    </row>
    <row r="39" spans="2:9" ht="29.4" x14ac:dyDescent="0.35">
      <c r="B39" s="21" t="s">
        <v>116</v>
      </c>
      <c r="D39" s="18" t="s">
        <v>71</v>
      </c>
      <c r="E39" s="4">
        <f>(J8*(1-E14))</f>
        <v>30</v>
      </c>
      <c r="F39" s="12" t="s">
        <v>24</v>
      </c>
      <c r="G39" s="11" t="s">
        <v>25</v>
      </c>
      <c r="H39" s="5" t="s">
        <v>26</v>
      </c>
    </row>
    <row r="40" spans="2:9" ht="29.4" x14ac:dyDescent="0.35">
      <c r="B40" s="23" t="s">
        <v>100</v>
      </c>
      <c r="D40" s="18" t="s">
        <v>72</v>
      </c>
      <c r="E40" s="4">
        <f>(1-E15)*E39</f>
        <v>30</v>
      </c>
      <c r="F40" s="12" t="s">
        <v>41</v>
      </c>
      <c r="G40" s="11" t="s">
        <v>14</v>
      </c>
      <c r="H40" s="5" t="s">
        <v>42</v>
      </c>
    </row>
    <row r="41" spans="2:9" ht="36" customHeight="1" x14ac:dyDescent="0.35">
      <c r="B41" s="38" t="s">
        <v>118</v>
      </c>
      <c r="D41" s="18" t="s">
        <v>77</v>
      </c>
      <c r="E41" s="4">
        <f>(E40*E23*J11)/E21</f>
        <v>1.8770628099173554</v>
      </c>
      <c r="F41" s="12" t="s">
        <v>69</v>
      </c>
      <c r="G41" s="11" t="s">
        <v>35</v>
      </c>
      <c r="H41" t="s">
        <v>57</v>
      </c>
    </row>
    <row r="42" spans="2:9" ht="15.6" x14ac:dyDescent="0.35">
      <c r="D42" s="18" t="s">
        <v>75</v>
      </c>
      <c r="E42" s="4">
        <f>E40*E23*J11</f>
        <v>27254.952000000001</v>
      </c>
      <c r="F42" s="12" t="s">
        <v>47</v>
      </c>
      <c r="G42" s="11" t="s">
        <v>35</v>
      </c>
      <c r="H42" t="s">
        <v>157</v>
      </c>
    </row>
    <row r="43" spans="2:9" ht="15.6" x14ac:dyDescent="0.35">
      <c r="D43" s="22" t="s">
        <v>177</v>
      </c>
      <c r="E43" s="4">
        <f>E40*E23*J11*E9</f>
        <v>81764.856</v>
      </c>
      <c r="F43" s="12" t="s">
        <v>165</v>
      </c>
      <c r="G43" s="11" t="s">
        <v>35</v>
      </c>
      <c r="H43" t="s">
        <v>158</v>
      </c>
    </row>
    <row r="46" spans="2:9" x14ac:dyDescent="0.3">
      <c r="B46" s="21" t="s">
        <v>117</v>
      </c>
      <c r="E46" t="s">
        <v>66</v>
      </c>
    </row>
    <row r="47" spans="2:9" x14ac:dyDescent="0.3">
      <c r="B47" s="21" t="s">
        <v>119</v>
      </c>
      <c r="D47" s="18"/>
      <c r="E47" s="14" t="s">
        <v>0</v>
      </c>
      <c r="F47" s="14" t="s">
        <v>1</v>
      </c>
      <c r="G47" s="14" t="s">
        <v>2</v>
      </c>
      <c r="H47" s="14" t="s">
        <v>3</v>
      </c>
    </row>
    <row r="48" spans="2:9" ht="15.6" x14ac:dyDescent="0.35">
      <c r="B48" s="23" t="s">
        <v>100</v>
      </c>
      <c r="D48" s="18" t="s">
        <v>73</v>
      </c>
      <c r="E48" s="4">
        <f>E41-E31</f>
        <v>-1.6779309292130802</v>
      </c>
      <c r="F48" s="12" t="s">
        <v>68</v>
      </c>
      <c r="G48" s="11" t="s">
        <v>35</v>
      </c>
      <c r="H48" t="s">
        <v>67</v>
      </c>
    </row>
    <row r="49" spans="2:16" ht="32.25" customHeight="1" x14ac:dyDescent="0.35">
      <c r="B49" s="38" t="s">
        <v>120</v>
      </c>
      <c r="D49" s="18" t="s">
        <v>74</v>
      </c>
      <c r="E49" s="4">
        <f>E42-E32</f>
        <v>-24363.557092173916</v>
      </c>
      <c r="F49" s="12" t="s">
        <v>53</v>
      </c>
      <c r="G49" s="11" t="s">
        <v>35</v>
      </c>
      <c r="H49" t="s">
        <v>54</v>
      </c>
    </row>
    <row r="50" spans="2:16" ht="32.25" customHeight="1" x14ac:dyDescent="0.35">
      <c r="B50" s="38"/>
      <c r="D50" s="18" t="s">
        <v>178</v>
      </c>
      <c r="E50" s="4">
        <f>E48*J10</f>
        <v>-73090.671276521767</v>
      </c>
      <c r="F50" s="12" t="s">
        <v>168</v>
      </c>
      <c r="G50" s="11" t="s">
        <v>35</v>
      </c>
      <c r="H50" t="s">
        <v>123</v>
      </c>
    </row>
    <row r="51" spans="2:16" ht="64.5" customHeight="1" x14ac:dyDescent="0.35">
      <c r="B51" s="40" t="s">
        <v>121</v>
      </c>
      <c r="D51" s="18" t="s">
        <v>179</v>
      </c>
      <c r="E51" s="4">
        <f>E48*J10/J12</f>
        <v>-0.16113747878384488</v>
      </c>
      <c r="F51" s="12" t="s">
        <v>170</v>
      </c>
      <c r="G51" s="11" t="s">
        <v>51</v>
      </c>
      <c r="H51" t="s">
        <v>123</v>
      </c>
    </row>
    <row r="52" spans="2:16" ht="64.5" customHeight="1" x14ac:dyDescent="0.35">
      <c r="B52" s="40"/>
      <c r="D52" s="18" t="s">
        <v>180</v>
      </c>
      <c r="E52" s="4">
        <f>E43-E35</f>
        <v>-73090.671276521753</v>
      </c>
      <c r="F52" s="12" t="s">
        <v>169</v>
      </c>
      <c r="G52" s="11" t="s">
        <v>35</v>
      </c>
      <c r="H52" t="s">
        <v>159</v>
      </c>
    </row>
    <row r="53" spans="2:16" x14ac:dyDescent="0.3">
      <c r="J53" s="8"/>
      <c r="K53" s="1"/>
      <c r="L53" s="1"/>
      <c r="M53" s="1"/>
      <c r="N53" s="1"/>
      <c r="O53" s="1"/>
      <c r="P53" s="1"/>
    </row>
    <row r="54" spans="2:16" x14ac:dyDescent="0.3">
      <c r="B54" t="s">
        <v>56</v>
      </c>
      <c r="D54" s="47" t="s">
        <v>124</v>
      </c>
      <c r="E54" s="47"/>
      <c r="F54" s="47"/>
      <c r="G54" s="47"/>
      <c r="H54" s="47"/>
      <c r="I54" s="47"/>
      <c r="J54" s="47"/>
      <c r="K54" s="1"/>
      <c r="L54" s="1"/>
      <c r="M54" s="1"/>
      <c r="N54" s="1"/>
      <c r="O54" s="1"/>
      <c r="P54" s="1"/>
    </row>
    <row r="55" spans="2:16" ht="15" thickBot="1" x14ac:dyDescent="0.35">
      <c r="D55" s="31" t="s">
        <v>127</v>
      </c>
      <c r="E55" s="30">
        <v>1</v>
      </c>
      <c r="F55" s="30">
        <v>2</v>
      </c>
      <c r="G55" s="30">
        <v>3</v>
      </c>
      <c r="H55" s="30">
        <v>4</v>
      </c>
      <c r="I55" s="30">
        <v>5</v>
      </c>
      <c r="J55" s="30">
        <v>6</v>
      </c>
    </row>
    <row r="56" spans="2:16" ht="15" thickTop="1" x14ac:dyDescent="0.3">
      <c r="D56" s="32" t="s">
        <v>59</v>
      </c>
      <c r="E56" s="29">
        <v>21780</v>
      </c>
      <c r="F56" s="29">
        <v>13000</v>
      </c>
      <c r="G56" s="29">
        <v>16000</v>
      </c>
      <c r="H56" s="29">
        <v>19000</v>
      </c>
      <c r="I56" s="29">
        <v>21000</v>
      </c>
      <c r="J56" s="29">
        <v>23000</v>
      </c>
    </row>
    <row r="57" spans="2:16" x14ac:dyDescent="0.3">
      <c r="D57" s="12" t="s">
        <v>126</v>
      </c>
      <c r="E57" s="33">
        <f t="shared" ref="E57:J57" si="0">((3*$D$71)*($D$65*60))/E56</f>
        <v>3.7541256198347108</v>
      </c>
      <c r="F57" s="33">
        <f t="shared" si="0"/>
        <v>6.2896043076923078</v>
      </c>
      <c r="G57" s="33">
        <f t="shared" si="0"/>
        <v>5.1103034999999997</v>
      </c>
      <c r="H57" s="33">
        <f t="shared" si="0"/>
        <v>4.3034134736842109</v>
      </c>
      <c r="I57" s="33">
        <f t="shared" si="0"/>
        <v>3.8935645714285716</v>
      </c>
      <c r="J57" s="33">
        <f t="shared" si="0"/>
        <v>3.5549937391304347</v>
      </c>
    </row>
    <row r="58" spans="2:16" x14ac:dyDescent="0.3">
      <c r="D58" s="12" t="s">
        <v>152</v>
      </c>
      <c r="E58" s="45">
        <f t="shared" ref="E58:J58" si="1">E57*$D$69</f>
        <v>163529.712</v>
      </c>
      <c r="F58" s="45">
        <f t="shared" si="1"/>
        <v>273975.16364307696</v>
      </c>
      <c r="G58" s="45">
        <f t="shared" si="1"/>
        <v>222604.82045999999</v>
      </c>
      <c r="H58" s="45">
        <f t="shared" si="1"/>
        <v>187456.69091368423</v>
      </c>
      <c r="I58" s="45">
        <f t="shared" si="1"/>
        <v>169603.67273142858</v>
      </c>
      <c r="J58" s="45">
        <f t="shared" si="1"/>
        <v>154855.52727652172</v>
      </c>
    </row>
    <row r="59" spans="2:16" x14ac:dyDescent="0.3">
      <c r="D59" s="12" t="s">
        <v>153</v>
      </c>
      <c r="E59" s="45">
        <f t="shared" ref="E59:J59" si="2">E57*$D$69/$D$67</f>
        <v>0.36052159650082011</v>
      </c>
      <c r="F59" s="45">
        <f t="shared" si="2"/>
        <v>0.60401233629137407</v>
      </c>
      <c r="G59" s="45">
        <f t="shared" si="2"/>
        <v>0.49076002323674134</v>
      </c>
      <c r="H59" s="45">
        <f t="shared" si="2"/>
        <v>0.41327159851515066</v>
      </c>
      <c r="I59" s="45">
        <f t="shared" si="2"/>
        <v>0.37391239865656489</v>
      </c>
      <c r="J59" s="45">
        <f t="shared" si="2"/>
        <v>0.34139827703425485</v>
      </c>
    </row>
    <row r="63" spans="2:16" x14ac:dyDescent="0.3">
      <c r="C63" s="17" t="s">
        <v>46</v>
      </c>
      <c r="D63" s="9"/>
    </row>
    <row r="64" spans="2:16" x14ac:dyDescent="0.3">
      <c r="C64" s="9" t="s">
        <v>49</v>
      </c>
      <c r="D64" s="9" t="s">
        <v>50</v>
      </c>
    </row>
    <row r="65" spans="3:18" x14ac:dyDescent="0.3">
      <c r="C65" s="9">
        <v>1</v>
      </c>
      <c r="D65" s="9">
        <v>3.7854100000000002</v>
      </c>
    </row>
    <row r="66" spans="3:18" x14ac:dyDescent="0.3">
      <c r="C66" s="9" t="s">
        <v>51</v>
      </c>
      <c r="D66" s="9" t="s">
        <v>35</v>
      </c>
    </row>
    <row r="67" spans="3:18" x14ac:dyDescent="0.3">
      <c r="C67" s="9">
        <v>1</v>
      </c>
      <c r="D67" s="9">
        <v>453592</v>
      </c>
    </row>
    <row r="68" spans="3:18" x14ac:dyDescent="0.3">
      <c r="C68" s="9" t="s">
        <v>52</v>
      </c>
      <c r="D68" s="9" t="s">
        <v>11</v>
      </c>
    </row>
    <row r="69" spans="3:18" x14ac:dyDescent="0.3">
      <c r="C69" s="9">
        <v>1</v>
      </c>
      <c r="D69" s="9">
        <v>43560</v>
      </c>
    </row>
    <row r="70" spans="3:18" x14ac:dyDescent="0.3">
      <c r="C70" s="9" t="s">
        <v>55</v>
      </c>
      <c r="D70" s="9" t="s">
        <v>17</v>
      </c>
    </row>
    <row r="71" spans="3:18" x14ac:dyDescent="0.3">
      <c r="C71" s="9">
        <v>1</v>
      </c>
      <c r="D71" s="9">
        <v>120</v>
      </c>
    </row>
    <row r="77" spans="3:18" x14ac:dyDescent="0.3">
      <c r="L77" s="1"/>
      <c r="M77" s="1"/>
      <c r="N77" s="1"/>
      <c r="O77" s="1"/>
      <c r="P77" s="1"/>
      <c r="Q77" s="1"/>
      <c r="R77" s="1"/>
    </row>
    <row r="78" spans="3:18" x14ac:dyDescent="0.3">
      <c r="L78" s="1"/>
      <c r="M78" s="1"/>
      <c r="N78" s="1"/>
      <c r="O78" s="1"/>
      <c r="P78" s="1"/>
      <c r="Q78" s="1"/>
      <c r="R78" s="1"/>
    </row>
  </sheetData>
  <mergeCells count="1">
    <mergeCell ref="D54:J5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1"/>
  <sheetViews>
    <sheetView zoomScaleNormal="100" workbookViewId="0">
      <selection activeCell="F35" sqref="F35"/>
    </sheetView>
  </sheetViews>
  <sheetFormatPr defaultRowHeight="14.4" x14ac:dyDescent="0.3"/>
  <cols>
    <col min="2" max="2" width="31.33203125" customWidth="1"/>
    <col min="4" max="4" width="11.5546875" customWidth="1"/>
    <col min="5" max="5" width="17.88671875" customWidth="1"/>
    <col min="6" max="6" width="16.88671875" customWidth="1"/>
    <col min="7" max="7" width="16.33203125" bestFit="1" customWidth="1"/>
    <col min="8" max="8" width="34.5546875" customWidth="1"/>
    <col min="9" max="9" width="21.109375" customWidth="1"/>
    <col min="10" max="10" width="15.109375" bestFit="1" customWidth="1"/>
    <col min="11" max="11" width="15.44140625" customWidth="1"/>
    <col min="12" max="12" width="10.6640625" customWidth="1"/>
    <col min="13" max="13" width="19.5546875" customWidth="1"/>
    <col min="14" max="14" width="10.6640625" customWidth="1"/>
  </cols>
  <sheetData>
    <row r="1" spans="2:13" x14ac:dyDescent="0.3">
      <c r="B1" s="18"/>
    </row>
    <row r="2" spans="2:13" x14ac:dyDescent="0.3">
      <c r="E2" t="s">
        <v>61</v>
      </c>
      <c r="J2" t="s">
        <v>62</v>
      </c>
    </row>
    <row r="3" spans="2:13" ht="16.5" customHeight="1" x14ac:dyDescent="0.3">
      <c r="E3" s="14" t="s">
        <v>0</v>
      </c>
      <c r="F3" s="14" t="s">
        <v>1</v>
      </c>
      <c r="G3" s="14" t="s">
        <v>2</v>
      </c>
      <c r="H3" s="14" t="s">
        <v>3</v>
      </c>
      <c r="J3" s="14" t="s">
        <v>0</v>
      </c>
      <c r="K3" s="14" t="s">
        <v>1</v>
      </c>
      <c r="L3" s="14" t="s">
        <v>2</v>
      </c>
      <c r="M3" s="14" t="s">
        <v>3</v>
      </c>
    </row>
    <row r="4" spans="2:13" ht="15.6" x14ac:dyDescent="0.35">
      <c r="B4" s="18"/>
      <c r="E4" s="15">
        <v>3</v>
      </c>
      <c r="F4" s="12" t="s">
        <v>5</v>
      </c>
      <c r="G4" s="11" t="s">
        <v>6</v>
      </c>
      <c r="H4" t="s">
        <v>7</v>
      </c>
      <c r="J4" s="13">
        <v>60</v>
      </c>
      <c r="K4" s="12" t="s">
        <v>13</v>
      </c>
      <c r="L4" s="11" t="s">
        <v>14</v>
      </c>
      <c r="M4" t="s">
        <v>15</v>
      </c>
    </row>
    <row r="5" spans="2:13" ht="15.6" x14ac:dyDescent="0.35">
      <c r="B5" s="21" t="s">
        <v>80</v>
      </c>
      <c r="E5" s="10">
        <v>6</v>
      </c>
      <c r="F5" s="12" t="s">
        <v>8</v>
      </c>
      <c r="G5" s="11" t="s">
        <v>9</v>
      </c>
      <c r="H5" t="s">
        <v>4</v>
      </c>
      <c r="J5" s="3">
        <v>120</v>
      </c>
      <c r="K5" s="12" t="s">
        <v>16</v>
      </c>
      <c r="L5" s="11" t="s">
        <v>17</v>
      </c>
      <c r="M5" t="s">
        <v>18</v>
      </c>
    </row>
    <row r="6" spans="2:13" ht="15.6" x14ac:dyDescent="0.35">
      <c r="E6" s="10">
        <v>15000</v>
      </c>
      <c r="F6" s="12" t="s">
        <v>10</v>
      </c>
      <c r="G6" s="11" t="s">
        <v>11</v>
      </c>
      <c r="H6" t="s">
        <v>12</v>
      </c>
      <c r="J6" s="2">
        <v>43560</v>
      </c>
      <c r="K6" s="12" t="s">
        <v>29</v>
      </c>
      <c r="L6" s="11" t="s">
        <v>28</v>
      </c>
      <c r="M6" t="s">
        <v>30</v>
      </c>
    </row>
    <row r="7" spans="2:13" ht="15.6" x14ac:dyDescent="0.35">
      <c r="E7" s="10">
        <v>0</v>
      </c>
      <c r="F7" s="12" t="s">
        <v>21</v>
      </c>
      <c r="G7" s="11" t="s">
        <v>22</v>
      </c>
      <c r="H7" t="s">
        <v>23</v>
      </c>
      <c r="J7" s="2">
        <v>3.7854100000000002</v>
      </c>
      <c r="K7" s="12" t="s">
        <v>31</v>
      </c>
      <c r="L7" s="11" t="s">
        <v>28</v>
      </c>
      <c r="M7" t="s">
        <v>32</v>
      </c>
    </row>
    <row r="8" spans="2:13" ht="15.6" x14ac:dyDescent="0.35">
      <c r="B8" s="18"/>
      <c r="E8" s="10">
        <v>0</v>
      </c>
      <c r="F8" s="12" t="s">
        <v>39</v>
      </c>
      <c r="G8" s="11" t="s">
        <v>22</v>
      </c>
      <c r="H8" t="s">
        <v>40</v>
      </c>
      <c r="J8" s="2">
        <v>453592</v>
      </c>
      <c r="K8" s="12" t="s">
        <v>33</v>
      </c>
      <c r="L8" s="11" t="s">
        <v>28</v>
      </c>
      <c r="M8" t="s">
        <v>34</v>
      </c>
    </row>
    <row r="9" spans="2:13" ht="32.25" customHeight="1" x14ac:dyDescent="0.3">
      <c r="K9" s="7"/>
    </row>
    <row r="10" spans="2:13" x14ac:dyDescent="0.3">
      <c r="E10" t="s">
        <v>65</v>
      </c>
      <c r="J10" t="s">
        <v>63</v>
      </c>
      <c r="K10" s="7"/>
    </row>
    <row r="11" spans="2:13" ht="16.5" customHeight="1" x14ac:dyDescent="0.3">
      <c r="E11" s="14" t="s">
        <v>0</v>
      </c>
      <c r="F11" s="14" t="s">
        <v>1</v>
      </c>
      <c r="G11" s="14" t="s">
        <v>2</v>
      </c>
      <c r="H11" s="14" t="s">
        <v>3</v>
      </c>
      <c r="J11" s="14" t="s">
        <v>0</v>
      </c>
      <c r="K11" s="14" t="s">
        <v>1</v>
      </c>
      <c r="L11" s="14" t="s">
        <v>2</v>
      </c>
      <c r="M11" s="14" t="s">
        <v>3</v>
      </c>
    </row>
    <row r="12" spans="2:13" ht="15.6" x14ac:dyDescent="0.35">
      <c r="B12" s="18" t="s">
        <v>146</v>
      </c>
      <c r="E12" s="16">
        <f xml:space="preserve"> (360*J7*J4)/J12</f>
        <v>3.5549937391304356</v>
      </c>
      <c r="F12" s="12" t="s">
        <v>60</v>
      </c>
      <c r="G12" s="11" t="s">
        <v>35</v>
      </c>
      <c r="H12" t="s">
        <v>58</v>
      </c>
      <c r="J12" s="16">
        <f>IF(E5=1,F28,IF(E5=2,G28,IF(E5=3,H28,IF(E5=4,I28,IF(E5=5,J28,IF(E5=6,K28,0))))))</f>
        <v>23000</v>
      </c>
      <c r="K12" s="12" t="s">
        <v>19</v>
      </c>
      <c r="L12" s="11" t="s">
        <v>11</v>
      </c>
      <c r="M12" t="s">
        <v>20</v>
      </c>
    </row>
    <row r="13" spans="2:13" ht="21.75" customHeight="1" x14ac:dyDescent="0.35">
      <c r="B13" s="18" t="s">
        <v>78</v>
      </c>
      <c r="E13" s="4">
        <f>360*J7*J4*(E6/J12)</f>
        <v>53324.906086956529</v>
      </c>
      <c r="F13" s="12" t="s">
        <v>37</v>
      </c>
      <c r="G13" s="11" t="s">
        <v>35</v>
      </c>
      <c r="H13" t="s">
        <v>38</v>
      </c>
      <c r="I13" s="18" t="s">
        <v>70</v>
      </c>
      <c r="J13" s="4">
        <f>E4*J5</f>
        <v>360</v>
      </c>
      <c r="K13" s="12" t="s">
        <v>27</v>
      </c>
      <c r="L13" s="11" t="s">
        <v>17</v>
      </c>
      <c r="M13" s="6" t="s">
        <v>79</v>
      </c>
    </row>
    <row r="14" spans="2:13" ht="15.6" x14ac:dyDescent="0.35">
      <c r="B14" s="18"/>
      <c r="E14" s="4">
        <f>E12*D39/D37</f>
        <v>0.34139827703425496</v>
      </c>
      <c r="F14" s="12"/>
      <c r="G14" s="11" t="s">
        <v>51</v>
      </c>
      <c r="H14" t="s">
        <v>36</v>
      </c>
      <c r="J14" s="4">
        <f>J13*J7</f>
        <v>1362.7476000000001</v>
      </c>
      <c r="K14" s="12" t="s">
        <v>43</v>
      </c>
      <c r="L14" s="11" t="s">
        <v>44</v>
      </c>
      <c r="M14" t="s">
        <v>45</v>
      </c>
    </row>
    <row r="15" spans="2:13" x14ac:dyDescent="0.3">
      <c r="B15" s="18"/>
    </row>
    <row r="17" spans="2:13" x14ac:dyDescent="0.3">
      <c r="E17" t="s">
        <v>64</v>
      </c>
      <c r="J17" t="s">
        <v>66</v>
      </c>
    </row>
    <row r="18" spans="2:13" ht="20.25" customHeight="1" x14ac:dyDescent="0.3">
      <c r="E18" s="14" t="s">
        <v>0</v>
      </c>
      <c r="F18" s="14" t="s">
        <v>1</v>
      </c>
      <c r="G18" s="14" t="s">
        <v>2</v>
      </c>
      <c r="H18" s="14" t="s">
        <v>3</v>
      </c>
      <c r="J18" s="14" t="s">
        <v>0</v>
      </c>
      <c r="K18" s="14" t="s">
        <v>1</v>
      </c>
      <c r="L18" s="14" t="s">
        <v>2</v>
      </c>
      <c r="M18" s="14" t="s">
        <v>3</v>
      </c>
    </row>
    <row r="19" spans="2:13" ht="32.25" customHeight="1" x14ac:dyDescent="0.35">
      <c r="B19" s="18" t="s">
        <v>71</v>
      </c>
      <c r="E19" s="4">
        <f>(J4*(1-E7))</f>
        <v>60</v>
      </c>
      <c r="F19" s="12" t="s">
        <v>24</v>
      </c>
      <c r="G19" s="11" t="s">
        <v>25</v>
      </c>
      <c r="H19" s="5" t="s">
        <v>26</v>
      </c>
      <c r="I19" s="18" t="s">
        <v>73</v>
      </c>
      <c r="J19" s="4">
        <f>E21-E12</f>
        <v>1.8959966608695646</v>
      </c>
      <c r="K19" s="12" t="s">
        <v>68</v>
      </c>
      <c r="L19" s="11" t="s">
        <v>35</v>
      </c>
      <c r="M19" t="s">
        <v>67</v>
      </c>
    </row>
    <row r="20" spans="2:13" ht="39" customHeight="1" x14ac:dyDescent="0.35">
      <c r="B20" s="18" t="s">
        <v>72</v>
      </c>
      <c r="E20" s="4">
        <f>(1-E8)*E19</f>
        <v>60</v>
      </c>
      <c r="F20" s="12" t="s">
        <v>41</v>
      </c>
      <c r="G20" s="11" t="s">
        <v>14</v>
      </c>
      <c r="H20" s="5" t="s">
        <v>42</v>
      </c>
      <c r="I20" s="18" t="s">
        <v>74</v>
      </c>
      <c r="J20" s="4">
        <f>E22-E13</f>
        <v>28439.949913043471</v>
      </c>
      <c r="K20" s="12" t="s">
        <v>53</v>
      </c>
      <c r="L20" s="11" t="s">
        <v>35</v>
      </c>
      <c r="M20" t="s">
        <v>54</v>
      </c>
    </row>
    <row r="21" spans="2:13" ht="15.6" x14ac:dyDescent="0.35">
      <c r="B21" s="18" t="s">
        <v>77</v>
      </c>
      <c r="E21" s="4">
        <f>(E20*J13*J7)/E6</f>
        <v>5.4509904000000002</v>
      </c>
      <c r="F21" s="12" t="s">
        <v>69</v>
      </c>
      <c r="G21" s="11" t="s">
        <v>35</v>
      </c>
      <c r="H21" t="s">
        <v>57</v>
      </c>
      <c r="J21" s="4">
        <f>J19*D39/D37</f>
        <v>0.1820790810849359</v>
      </c>
      <c r="K21" s="12"/>
      <c r="L21" s="11" t="s">
        <v>51</v>
      </c>
      <c r="M21" t="s">
        <v>123</v>
      </c>
    </row>
    <row r="22" spans="2:13" ht="16.2" x14ac:dyDescent="0.35">
      <c r="B22" s="18" t="s">
        <v>75</v>
      </c>
      <c r="E22" s="4">
        <f>E20*J13*J7</f>
        <v>81764.856</v>
      </c>
      <c r="F22" s="12" t="s">
        <v>47</v>
      </c>
      <c r="G22" s="11" t="s">
        <v>35</v>
      </c>
      <c r="H22" t="s">
        <v>48</v>
      </c>
      <c r="I22" s="20"/>
    </row>
    <row r="23" spans="2:13" x14ac:dyDescent="0.3">
      <c r="E23" s="4">
        <f>E22/D37</f>
        <v>0.18026079825041005</v>
      </c>
      <c r="F23" s="12"/>
      <c r="G23" s="11" t="s">
        <v>51</v>
      </c>
      <c r="H23" t="s">
        <v>122</v>
      </c>
    </row>
    <row r="24" spans="2:13" x14ac:dyDescent="0.3">
      <c r="B24" s="18"/>
    </row>
    <row r="25" spans="2:13" x14ac:dyDescent="0.3">
      <c r="B25" s="18"/>
    </row>
    <row r="26" spans="2:13" x14ac:dyDescent="0.3">
      <c r="E26" s="47" t="s">
        <v>124</v>
      </c>
      <c r="F26" s="47"/>
      <c r="G26" s="47"/>
      <c r="H26" s="47"/>
      <c r="I26" s="47"/>
      <c r="J26" s="47"/>
      <c r="K26" s="47"/>
    </row>
    <row r="27" spans="2:13" ht="15" thickBot="1" x14ac:dyDescent="0.35">
      <c r="B27" s="18"/>
      <c r="E27" s="31" t="s">
        <v>4</v>
      </c>
      <c r="F27" s="30">
        <v>1</v>
      </c>
      <c r="G27" s="30">
        <v>2</v>
      </c>
      <c r="H27" s="30">
        <v>3</v>
      </c>
      <c r="I27" s="30">
        <v>4</v>
      </c>
      <c r="J27" s="30">
        <v>5</v>
      </c>
      <c r="K27" s="30">
        <v>6</v>
      </c>
    </row>
    <row r="28" spans="2:13" ht="15" thickTop="1" x14ac:dyDescent="0.3">
      <c r="B28" s="18"/>
      <c r="E28" s="32" t="s">
        <v>59</v>
      </c>
      <c r="F28" s="29">
        <v>21780</v>
      </c>
      <c r="G28" s="29">
        <v>13000</v>
      </c>
      <c r="H28" s="29">
        <v>16000</v>
      </c>
      <c r="I28" s="29">
        <v>19000</v>
      </c>
      <c r="J28" s="29">
        <v>21000</v>
      </c>
      <c r="K28" s="29">
        <v>23000</v>
      </c>
    </row>
    <row r="29" spans="2:13" x14ac:dyDescent="0.3">
      <c r="B29" s="18"/>
      <c r="E29" s="12" t="s">
        <v>126</v>
      </c>
      <c r="F29" s="33">
        <f t="shared" ref="F29:K29" si="0">((3*$D$41)*($D$35*60))/F28</f>
        <v>3.7541256198347108</v>
      </c>
      <c r="G29" s="33">
        <f t="shared" si="0"/>
        <v>6.2896043076923078</v>
      </c>
      <c r="H29" s="33">
        <f t="shared" si="0"/>
        <v>5.1103034999999997</v>
      </c>
      <c r="I29" s="33">
        <f t="shared" si="0"/>
        <v>4.3034134736842109</v>
      </c>
      <c r="J29" s="33">
        <f t="shared" si="0"/>
        <v>3.8935645714285716</v>
      </c>
      <c r="K29" s="33">
        <f t="shared" si="0"/>
        <v>3.5549937391304347</v>
      </c>
    </row>
    <row r="30" spans="2:13" x14ac:dyDescent="0.3">
      <c r="E30" s="12" t="s">
        <v>125</v>
      </c>
      <c r="F30" s="45">
        <f>F29*$D$39/$D$37</f>
        <v>0.36052159650082011</v>
      </c>
      <c r="G30" s="45">
        <f t="shared" ref="G30:K30" si="1">G29*$D$39/$D$37</f>
        <v>0.60401233629137407</v>
      </c>
      <c r="H30" s="45">
        <f t="shared" si="1"/>
        <v>0.49076002323674134</v>
      </c>
      <c r="I30" s="45">
        <f t="shared" si="1"/>
        <v>0.41327159851515066</v>
      </c>
      <c r="J30" s="45">
        <f t="shared" si="1"/>
        <v>0.37391239865656489</v>
      </c>
      <c r="K30" s="45">
        <f t="shared" si="1"/>
        <v>0.34139827703425485</v>
      </c>
    </row>
    <row r="31" spans="2:13" x14ac:dyDescent="0.3">
      <c r="E31" s="12" t="s">
        <v>152</v>
      </c>
      <c r="F31" s="45">
        <v>163529.712</v>
      </c>
      <c r="G31" s="45">
        <v>273975.16364307696</v>
      </c>
      <c r="H31" s="45">
        <v>222604.82045999999</v>
      </c>
      <c r="I31" s="45">
        <v>187456.69091368423</v>
      </c>
      <c r="J31" s="45">
        <v>169603.67273142858</v>
      </c>
      <c r="K31" s="45">
        <v>154855.52727652172</v>
      </c>
    </row>
    <row r="32" spans="2:13" x14ac:dyDescent="0.3">
      <c r="E32" s="12" t="s">
        <v>153</v>
      </c>
      <c r="F32" s="45">
        <v>0.36052159650082011</v>
      </c>
      <c r="G32" s="45">
        <v>0.60401233629137407</v>
      </c>
      <c r="H32" s="45">
        <v>0.49076002323674134</v>
      </c>
      <c r="I32" s="45">
        <v>0.41327159851515066</v>
      </c>
      <c r="J32" s="45">
        <v>0.37391239865656489</v>
      </c>
      <c r="K32" s="45">
        <v>0.34139827703425485</v>
      </c>
    </row>
    <row r="33" spans="2:16" x14ac:dyDescent="0.3">
      <c r="C33" s="19" t="s">
        <v>46</v>
      </c>
      <c r="D33" s="9"/>
    </row>
    <row r="34" spans="2:16" x14ac:dyDescent="0.3">
      <c r="C34" s="9" t="s">
        <v>49</v>
      </c>
      <c r="D34" s="9" t="s">
        <v>50</v>
      </c>
    </row>
    <row r="35" spans="2:16" x14ac:dyDescent="0.3">
      <c r="C35" s="9">
        <v>1</v>
      </c>
      <c r="D35" s="9">
        <v>3.7854100000000002</v>
      </c>
    </row>
    <row r="36" spans="2:16" x14ac:dyDescent="0.3">
      <c r="C36" s="9" t="s">
        <v>51</v>
      </c>
      <c r="D36" s="9" t="s">
        <v>35</v>
      </c>
    </row>
    <row r="37" spans="2:16" x14ac:dyDescent="0.3">
      <c r="C37" s="9">
        <v>1</v>
      </c>
      <c r="D37" s="9">
        <v>453592</v>
      </c>
      <c r="J37" s="8"/>
      <c r="K37" s="1"/>
      <c r="L37" s="1"/>
      <c r="M37" s="1"/>
      <c r="N37" s="1"/>
      <c r="O37" s="1"/>
      <c r="P37" s="1"/>
    </row>
    <row r="38" spans="2:16" x14ac:dyDescent="0.3">
      <c r="B38" t="s">
        <v>56</v>
      </c>
      <c r="C38" s="9" t="s">
        <v>52</v>
      </c>
      <c r="D38" s="9" t="s">
        <v>11</v>
      </c>
      <c r="J38" s="1"/>
      <c r="K38" s="1"/>
      <c r="L38" s="1"/>
      <c r="M38" s="1"/>
      <c r="N38" s="1"/>
      <c r="O38" s="1"/>
      <c r="P38" s="1"/>
    </row>
    <row r="39" spans="2:16" x14ac:dyDescent="0.3">
      <c r="C39" s="9">
        <v>1</v>
      </c>
      <c r="D39" s="9">
        <v>43560</v>
      </c>
    </row>
    <row r="40" spans="2:16" x14ac:dyDescent="0.3">
      <c r="C40" s="9" t="s">
        <v>55</v>
      </c>
      <c r="D40" s="9" t="s">
        <v>17</v>
      </c>
    </row>
    <row r="41" spans="2:16" x14ac:dyDescent="0.3">
      <c r="C41" s="9">
        <v>1</v>
      </c>
      <c r="D41" s="9">
        <v>120</v>
      </c>
    </row>
    <row r="60" spans="12:18" x14ac:dyDescent="0.3">
      <c r="L60" s="1"/>
      <c r="M60" s="1"/>
      <c r="N60" s="1"/>
      <c r="O60" s="1"/>
      <c r="P60" s="1"/>
      <c r="Q60" s="1"/>
      <c r="R60" s="1"/>
    </row>
    <row r="61" spans="12:18" x14ac:dyDescent="0.3">
      <c r="L61" s="1"/>
      <c r="M61" s="1"/>
      <c r="N61" s="1"/>
      <c r="O61" s="1"/>
      <c r="P61" s="1"/>
      <c r="Q61" s="1"/>
      <c r="R61" s="1"/>
    </row>
  </sheetData>
  <mergeCells count="1">
    <mergeCell ref="E26:K26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70DB-E4CE-4696-BA98-2C9B606D951D}">
  <dimension ref="B2:X29"/>
  <sheetViews>
    <sheetView topLeftCell="J1" zoomScale="130" zoomScaleNormal="130" workbookViewId="0">
      <selection activeCell="V30" sqref="V30"/>
    </sheetView>
  </sheetViews>
  <sheetFormatPr defaultRowHeight="14.4" x14ac:dyDescent="0.3"/>
  <cols>
    <col min="1" max="1" width="18.109375" customWidth="1"/>
    <col min="2" max="2" width="19.6640625" bestFit="1" customWidth="1"/>
    <col min="4" max="4" width="11.33203125" customWidth="1"/>
    <col min="6" max="6" width="19.6640625" bestFit="1" customWidth="1"/>
    <col min="10" max="10" width="19.6640625" bestFit="1" customWidth="1"/>
    <col min="14" max="14" width="19.6640625" bestFit="1" customWidth="1"/>
    <col min="17" max="17" width="15.44140625" customWidth="1"/>
    <col min="18" max="18" width="19.6640625" bestFit="1" customWidth="1"/>
    <col min="22" max="22" width="19.6640625" bestFit="1" customWidth="1"/>
  </cols>
  <sheetData>
    <row r="2" spans="2:24" ht="25.8" x14ac:dyDescent="0.5">
      <c r="B2" s="41" t="s">
        <v>144</v>
      </c>
    </row>
    <row r="3" spans="2:24" x14ac:dyDescent="0.3">
      <c r="B3" t="s">
        <v>147</v>
      </c>
    </row>
    <row r="4" spans="2:24" x14ac:dyDescent="0.3">
      <c r="B4" t="s">
        <v>150</v>
      </c>
    </row>
    <row r="6" spans="2:24" x14ac:dyDescent="0.3">
      <c r="B6" s="48" t="s">
        <v>133</v>
      </c>
      <c r="C6" s="49"/>
      <c r="F6" s="48" t="s">
        <v>137</v>
      </c>
      <c r="G6" s="49"/>
      <c r="J6" s="48" t="s">
        <v>138</v>
      </c>
      <c r="K6" s="49"/>
      <c r="N6" s="48" t="s">
        <v>140</v>
      </c>
      <c r="O6" s="49"/>
      <c r="R6" s="48" t="s">
        <v>141</v>
      </c>
      <c r="S6" s="49"/>
      <c r="V6" s="48" t="s">
        <v>143</v>
      </c>
      <c r="W6" s="49"/>
    </row>
    <row r="7" spans="2:24" x14ac:dyDescent="0.3">
      <c r="B7" s="42" t="s">
        <v>85</v>
      </c>
      <c r="C7" s="42">
        <v>1</v>
      </c>
      <c r="F7" s="42" t="s">
        <v>85</v>
      </c>
      <c r="G7" s="42">
        <v>1</v>
      </c>
      <c r="J7" s="42" t="s">
        <v>85</v>
      </c>
      <c r="K7" s="42">
        <v>1</v>
      </c>
      <c r="N7" s="42" t="s">
        <v>85</v>
      </c>
      <c r="O7" s="42">
        <v>1</v>
      </c>
      <c r="R7" s="42" t="s">
        <v>85</v>
      </c>
      <c r="S7" s="42">
        <v>1</v>
      </c>
      <c r="V7" s="42" t="s">
        <v>85</v>
      </c>
      <c r="W7" s="42">
        <v>1</v>
      </c>
    </row>
    <row r="8" spans="2:24" x14ac:dyDescent="0.3">
      <c r="B8" s="43" t="s">
        <v>134</v>
      </c>
      <c r="C8" s="44">
        <v>4</v>
      </c>
      <c r="F8" s="43" t="s">
        <v>134</v>
      </c>
      <c r="G8" s="43">
        <v>6</v>
      </c>
      <c r="J8" s="43" t="s">
        <v>134</v>
      </c>
      <c r="K8" s="43">
        <v>5</v>
      </c>
      <c r="N8" s="43" t="s">
        <v>134</v>
      </c>
      <c r="O8" s="44">
        <v>4</v>
      </c>
      <c r="R8" s="43" t="s">
        <v>134</v>
      </c>
      <c r="S8" s="44">
        <v>4</v>
      </c>
      <c r="V8" s="43" t="s">
        <v>134</v>
      </c>
      <c r="W8" s="43">
        <v>5</v>
      </c>
    </row>
    <row r="9" spans="2:24" x14ac:dyDescent="0.3">
      <c r="B9" s="42" t="s">
        <v>139</v>
      </c>
      <c r="C9" s="42">
        <v>10890</v>
      </c>
      <c r="D9" s="18" t="s">
        <v>11</v>
      </c>
      <c r="F9" s="42" t="s">
        <v>139</v>
      </c>
      <c r="G9" s="42">
        <v>7260</v>
      </c>
      <c r="H9" s="18" t="s">
        <v>11</v>
      </c>
      <c r="J9" s="42" t="s">
        <v>139</v>
      </c>
      <c r="K9" s="42">
        <v>8712</v>
      </c>
      <c r="L9" s="18" t="s">
        <v>11</v>
      </c>
      <c r="N9" s="42" t="s">
        <v>139</v>
      </c>
      <c r="O9" s="42">
        <v>10890</v>
      </c>
      <c r="P9" s="18" t="s">
        <v>11</v>
      </c>
      <c r="R9" s="42" t="s">
        <v>139</v>
      </c>
      <c r="S9" s="42">
        <v>10890</v>
      </c>
      <c r="T9" s="18" t="s">
        <v>11</v>
      </c>
      <c r="V9" s="42" t="s">
        <v>139</v>
      </c>
      <c r="W9" s="42">
        <v>8712</v>
      </c>
      <c r="X9" s="18" t="s">
        <v>11</v>
      </c>
    </row>
    <row r="10" spans="2:24" x14ac:dyDescent="0.3">
      <c r="B10" s="43" t="s">
        <v>136</v>
      </c>
      <c r="C10" s="43">
        <v>3</v>
      </c>
      <c r="D10" s="18"/>
      <c r="F10" s="43" t="s">
        <v>136</v>
      </c>
      <c r="G10" s="43">
        <v>3</v>
      </c>
      <c r="H10" s="18"/>
      <c r="J10" s="43" t="s">
        <v>136</v>
      </c>
      <c r="K10" s="43">
        <v>3</v>
      </c>
      <c r="L10" s="18"/>
      <c r="N10" s="43" t="s">
        <v>136</v>
      </c>
      <c r="O10" s="43">
        <v>3</v>
      </c>
      <c r="P10" s="18"/>
      <c r="R10" s="43" t="s">
        <v>136</v>
      </c>
      <c r="S10" s="43">
        <v>3</v>
      </c>
      <c r="T10" s="18"/>
      <c r="V10" s="43" t="s">
        <v>136</v>
      </c>
      <c r="W10" s="44">
        <v>2</v>
      </c>
      <c r="X10" s="18"/>
    </row>
    <row r="11" spans="2:24" x14ac:dyDescent="0.3">
      <c r="B11" s="42" t="s">
        <v>135</v>
      </c>
      <c r="C11" s="42">
        <v>0.5</v>
      </c>
      <c r="D11" s="18" t="s">
        <v>22</v>
      </c>
      <c r="F11" s="42" t="s">
        <v>135</v>
      </c>
      <c r="G11" s="42">
        <v>0.5</v>
      </c>
      <c r="H11" s="18" t="s">
        <v>22</v>
      </c>
      <c r="J11" s="42" t="s">
        <v>135</v>
      </c>
      <c r="K11" s="42">
        <v>0.5</v>
      </c>
      <c r="L11" s="18" t="s">
        <v>22</v>
      </c>
      <c r="N11" s="42" t="s">
        <v>135</v>
      </c>
      <c r="O11" s="42">
        <v>0.5</v>
      </c>
      <c r="P11" s="18" t="s">
        <v>22</v>
      </c>
      <c r="R11" s="42" t="s">
        <v>135</v>
      </c>
      <c r="S11" s="42">
        <v>0.5</v>
      </c>
      <c r="T11" s="18" t="s">
        <v>22</v>
      </c>
      <c r="V11" s="42" t="s">
        <v>135</v>
      </c>
      <c r="W11" s="42">
        <v>0.5</v>
      </c>
      <c r="X11" s="18" t="s">
        <v>22</v>
      </c>
    </row>
    <row r="13" spans="2:24" x14ac:dyDescent="0.3">
      <c r="B13" t="s">
        <v>145</v>
      </c>
      <c r="O13" t="s">
        <v>142</v>
      </c>
      <c r="S13" t="s">
        <v>142</v>
      </c>
      <c r="W13" t="s">
        <v>142</v>
      </c>
    </row>
    <row r="15" spans="2:24" x14ac:dyDescent="0.3">
      <c r="B15" s="48" t="s">
        <v>133</v>
      </c>
      <c r="C15" s="49" t="s">
        <v>133</v>
      </c>
      <c r="N15" s="48" t="s">
        <v>140</v>
      </c>
      <c r="O15" s="49"/>
      <c r="R15" s="48" t="s">
        <v>141</v>
      </c>
      <c r="S15" s="49"/>
      <c r="V15" s="48" t="s">
        <v>143</v>
      </c>
      <c r="W15" s="49"/>
    </row>
    <row r="16" spans="2:24" x14ac:dyDescent="0.3">
      <c r="B16" s="42" t="s">
        <v>85</v>
      </c>
      <c r="C16" s="42">
        <v>1</v>
      </c>
      <c r="N16" s="42" t="s">
        <v>85</v>
      </c>
      <c r="O16" s="42">
        <v>1</v>
      </c>
      <c r="R16" s="42" t="s">
        <v>85</v>
      </c>
      <c r="S16" s="42">
        <v>1</v>
      </c>
      <c r="V16" s="42" t="s">
        <v>85</v>
      </c>
      <c r="W16" s="42">
        <v>1</v>
      </c>
    </row>
    <row r="17" spans="2:24" x14ac:dyDescent="0.3">
      <c r="B17" s="43" t="s">
        <v>134</v>
      </c>
      <c r="C17" s="44">
        <v>5</v>
      </c>
      <c r="N17" s="43" t="s">
        <v>134</v>
      </c>
      <c r="O17" s="44">
        <v>5</v>
      </c>
      <c r="R17" s="43" t="s">
        <v>134</v>
      </c>
      <c r="S17" s="44">
        <v>5</v>
      </c>
      <c r="V17" s="43" t="s">
        <v>134</v>
      </c>
      <c r="W17" s="43">
        <v>3</v>
      </c>
    </row>
    <row r="18" spans="2:24" x14ac:dyDescent="0.3">
      <c r="B18" s="42" t="s">
        <v>139</v>
      </c>
      <c r="C18" s="42">
        <v>8712</v>
      </c>
      <c r="D18" s="18" t="s">
        <v>11</v>
      </c>
      <c r="N18" s="42" t="s">
        <v>139</v>
      </c>
      <c r="O18" s="42">
        <v>8712</v>
      </c>
      <c r="P18" s="18" t="s">
        <v>11</v>
      </c>
      <c r="R18" s="42" t="s">
        <v>139</v>
      </c>
      <c r="S18" s="42">
        <v>8712</v>
      </c>
      <c r="T18" s="18" t="s">
        <v>11</v>
      </c>
      <c r="V18" s="42" t="s">
        <v>139</v>
      </c>
      <c r="W18" s="42">
        <v>14520</v>
      </c>
      <c r="X18" s="18" t="s">
        <v>11</v>
      </c>
    </row>
    <row r="19" spans="2:24" x14ac:dyDescent="0.3">
      <c r="B19" s="43" t="s">
        <v>136</v>
      </c>
      <c r="C19" s="44">
        <v>2</v>
      </c>
      <c r="D19" s="18"/>
      <c r="N19" s="43" t="s">
        <v>136</v>
      </c>
      <c r="O19" s="44">
        <v>2</v>
      </c>
      <c r="P19" s="18"/>
      <c r="R19" s="43" t="s">
        <v>136</v>
      </c>
      <c r="S19" s="44">
        <v>2</v>
      </c>
      <c r="T19" s="18"/>
      <c r="V19" s="43" t="s">
        <v>136</v>
      </c>
      <c r="W19" s="44">
        <v>2.4</v>
      </c>
      <c r="X19" s="23" t="s">
        <v>151</v>
      </c>
    </row>
    <row r="20" spans="2:24" x14ac:dyDescent="0.3">
      <c r="B20" s="42" t="s">
        <v>135</v>
      </c>
      <c r="C20" s="42">
        <v>0.5</v>
      </c>
      <c r="D20" s="18" t="s">
        <v>22</v>
      </c>
      <c r="N20" s="42" t="s">
        <v>135</v>
      </c>
      <c r="O20" s="42">
        <v>0.5</v>
      </c>
      <c r="P20" s="18" t="s">
        <v>22</v>
      </c>
      <c r="R20" s="42" t="s">
        <v>135</v>
      </c>
      <c r="S20" s="42">
        <v>0.5</v>
      </c>
      <c r="T20" s="18" t="s">
        <v>22</v>
      </c>
      <c r="V20" s="42" t="s">
        <v>135</v>
      </c>
      <c r="W20" s="42">
        <v>0.5</v>
      </c>
      <c r="X20" s="18" t="s">
        <v>22</v>
      </c>
    </row>
    <row r="22" spans="2:24" x14ac:dyDescent="0.3">
      <c r="O22" t="s">
        <v>142</v>
      </c>
      <c r="S22" t="s">
        <v>142</v>
      </c>
    </row>
    <row r="24" spans="2:24" x14ac:dyDescent="0.3">
      <c r="N24" s="48" t="s">
        <v>140</v>
      </c>
      <c r="O24" s="49"/>
      <c r="R24" s="48" t="s">
        <v>141</v>
      </c>
      <c r="S24" s="49"/>
    </row>
    <row r="25" spans="2:24" x14ac:dyDescent="0.3">
      <c r="N25" s="42" t="s">
        <v>85</v>
      </c>
      <c r="O25" s="42">
        <v>1</v>
      </c>
      <c r="R25" s="42" t="s">
        <v>85</v>
      </c>
      <c r="S25" s="42">
        <v>1</v>
      </c>
    </row>
    <row r="26" spans="2:24" x14ac:dyDescent="0.3">
      <c r="N26" s="43" t="s">
        <v>134</v>
      </c>
      <c r="O26" s="44">
        <v>5</v>
      </c>
      <c r="R26" s="43" t="s">
        <v>134</v>
      </c>
      <c r="S26" s="44">
        <v>5</v>
      </c>
    </row>
    <row r="27" spans="2:24" x14ac:dyDescent="0.3">
      <c r="N27" s="42" t="s">
        <v>139</v>
      </c>
      <c r="O27" s="42">
        <v>8712</v>
      </c>
      <c r="P27" s="18" t="s">
        <v>11</v>
      </c>
      <c r="R27" s="42" t="s">
        <v>139</v>
      </c>
      <c r="S27" s="42">
        <v>8712</v>
      </c>
      <c r="T27" s="18" t="s">
        <v>11</v>
      </c>
    </row>
    <row r="28" spans="2:24" x14ac:dyDescent="0.3">
      <c r="N28" s="43" t="s">
        <v>136</v>
      </c>
      <c r="O28" s="44">
        <v>2.75</v>
      </c>
      <c r="P28" s="23" t="s">
        <v>148</v>
      </c>
      <c r="R28" s="43" t="s">
        <v>136</v>
      </c>
      <c r="S28" s="44">
        <v>2.4500000000000002</v>
      </c>
      <c r="T28" s="23" t="s">
        <v>149</v>
      </c>
    </row>
    <row r="29" spans="2:24" x14ac:dyDescent="0.3">
      <c r="B29" s="7"/>
      <c r="D29" s="7"/>
      <c r="N29" s="42" t="s">
        <v>135</v>
      </c>
      <c r="O29" s="42">
        <v>0.5</v>
      </c>
      <c r="P29" s="18" t="s">
        <v>22</v>
      </c>
      <c r="R29" s="42" t="s">
        <v>135</v>
      </c>
      <c r="S29" s="42">
        <v>0.5</v>
      </c>
      <c r="T29" s="18" t="s">
        <v>22</v>
      </c>
    </row>
  </sheetData>
  <mergeCells count="12">
    <mergeCell ref="R24:S24"/>
    <mergeCell ref="V15:W15"/>
    <mergeCell ref="N6:O6"/>
    <mergeCell ref="R6:S6"/>
    <mergeCell ref="V6:W6"/>
    <mergeCell ref="N15:O15"/>
    <mergeCell ref="R15:S15"/>
    <mergeCell ref="B6:C6"/>
    <mergeCell ref="B15:C15"/>
    <mergeCell ref="F6:G6"/>
    <mergeCell ref="J6:K6"/>
    <mergeCell ref="N24:O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70"/>
  <sheetViews>
    <sheetView zoomScale="85" zoomScaleNormal="85" workbookViewId="0">
      <selection activeCell="F59" sqref="F59"/>
    </sheetView>
  </sheetViews>
  <sheetFormatPr defaultRowHeight="14.4" x14ac:dyDescent="0.3"/>
  <cols>
    <col min="2" max="2" width="37.44140625" customWidth="1"/>
    <col min="3" max="3" width="14.5546875" customWidth="1"/>
    <col min="4" max="4" width="40.6640625" customWidth="1"/>
    <col min="5" max="5" width="16.109375" customWidth="1"/>
    <col min="6" max="7" width="16.33203125" bestFit="1" customWidth="1"/>
    <col min="8" max="8" width="34.5546875" customWidth="1"/>
    <col min="9" max="9" width="21.109375" customWidth="1"/>
    <col min="10" max="10" width="15.109375" bestFit="1" customWidth="1"/>
    <col min="11" max="11" width="15.44140625" customWidth="1"/>
    <col min="12" max="12" width="10.6640625" customWidth="1"/>
    <col min="13" max="13" width="19.5546875" customWidth="1"/>
    <col min="14" max="14" width="10.6640625" customWidth="1"/>
  </cols>
  <sheetData>
    <row r="1" spans="2:13" x14ac:dyDescent="0.3">
      <c r="B1" s="35" t="s">
        <v>107</v>
      </c>
      <c r="E1" t="s">
        <v>103</v>
      </c>
    </row>
    <row r="2" spans="2:13" x14ac:dyDescent="0.3">
      <c r="B2" s="21" t="s">
        <v>92</v>
      </c>
      <c r="D2" s="35" t="s">
        <v>108</v>
      </c>
      <c r="E2" s="14" t="s">
        <v>0</v>
      </c>
      <c r="F2" s="14" t="s">
        <v>1</v>
      </c>
      <c r="G2" s="14" t="s">
        <v>2</v>
      </c>
      <c r="H2" s="14" t="s">
        <v>3</v>
      </c>
    </row>
    <row r="3" spans="2:13" x14ac:dyDescent="0.3">
      <c r="B3" s="21" t="s">
        <v>86</v>
      </c>
      <c r="D3" s="36" t="s">
        <v>129</v>
      </c>
      <c r="E3" s="34">
        <v>1.25</v>
      </c>
      <c r="G3" t="s">
        <v>85</v>
      </c>
      <c r="H3" t="s">
        <v>87</v>
      </c>
    </row>
    <row r="4" spans="2:13" x14ac:dyDescent="0.3">
      <c r="D4" s="21" t="s">
        <v>128</v>
      </c>
      <c r="E4" s="4">
        <f>E3*J10</f>
        <v>54450</v>
      </c>
      <c r="G4" t="s">
        <v>11</v>
      </c>
      <c r="H4" t="s">
        <v>88</v>
      </c>
    </row>
    <row r="5" spans="2:13" x14ac:dyDescent="0.3">
      <c r="D5" s="36"/>
    </row>
    <row r="6" spans="2:13" x14ac:dyDescent="0.3">
      <c r="D6" s="36"/>
      <c r="E6" t="s">
        <v>61</v>
      </c>
      <c r="J6" t="s">
        <v>62</v>
      </c>
    </row>
    <row r="7" spans="2:13" x14ac:dyDescent="0.3">
      <c r="B7" s="21" t="s">
        <v>93</v>
      </c>
      <c r="D7" s="36"/>
      <c r="E7" s="14" t="s">
        <v>0</v>
      </c>
      <c r="F7" s="14" t="s">
        <v>1</v>
      </c>
      <c r="G7" s="14" t="s">
        <v>2</v>
      </c>
      <c r="H7" s="14" t="s">
        <v>3</v>
      </c>
      <c r="J7" s="14" t="s">
        <v>0</v>
      </c>
      <c r="K7" s="14" t="s">
        <v>1</v>
      </c>
      <c r="L7" s="14" t="s">
        <v>2</v>
      </c>
      <c r="M7" s="14" t="s">
        <v>3</v>
      </c>
    </row>
    <row r="8" spans="2:13" ht="15.6" x14ac:dyDescent="0.35">
      <c r="B8" s="21" t="s">
        <v>80</v>
      </c>
      <c r="D8" s="36" t="s">
        <v>104</v>
      </c>
      <c r="E8" s="27">
        <v>54450</v>
      </c>
      <c r="F8" s="12" t="s">
        <v>81</v>
      </c>
      <c r="G8" s="22" t="s">
        <v>82</v>
      </c>
      <c r="H8" s="25" t="s">
        <v>84</v>
      </c>
      <c r="J8" s="13">
        <v>60</v>
      </c>
      <c r="K8" s="12" t="s">
        <v>13</v>
      </c>
      <c r="L8" s="11" t="s">
        <v>14</v>
      </c>
      <c r="M8" t="s">
        <v>15</v>
      </c>
    </row>
    <row r="9" spans="2:13" ht="15.6" x14ac:dyDescent="0.35">
      <c r="D9" s="36" t="s">
        <v>105</v>
      </c>
      <c r="E9" s="27">
        <v>1</v>
      </c>
      <c r="F9" s="12" t="s">
        <v>47</v>
      </c>
      <c r="G9" s="22" t="s">
        <v>89</v>
      </c>
      <c r="H9" s="25" t="s">
        <v>90</v>
      </c>
      <c r="J9" s="3">
        <v>120</v>
      </c>
      <c r="K9" s="12" t="s">
        <v>16</v>
      </c>
      <c r="L9" s="11" t="s">
        <v>17</v>
      </c>
      <c r="M9" t="s">
        <v>18</v>
      </c>
    </row>
    <row r="10" spans="2:13" ht="53.25" customHeight="1" x14ac:dyDescent="0.35">
      <c r="D10" s="36" t="s">
        <v>106</v>
      </c>
      <c r="E10" s="27">
        <v>0</v>
      </c>
      <c r="F10" s="12"/>
      <c r="G10" s="22" t="s">
        <v>82</v>
      </c>
      <c r="H10" s="39" t="s">
        <v>132</v>
      </c>
      <c r="J10" s="2">
        <v>43560</v>
      </c>
      <c r="K10" s="12" t="s">
        <v>29</v>
      </c>
      <c r="L10" s="11" t="s">
        <v>28</v>
      </c>
      <c r="M10" t="s">
        <v>30</v>
      </c>
    </row>
    <row r="11" spans="2:13" ht="45.75" customHeight="1" x14ac:dyDescent="0.35">
      <c r="B11" s="18"/>
      <c r="D11" s="36" t="s">
        <v>130</v>
      </c>
      <c r="E11" s="27">
        <v>0</v>
      </c>
      <c r="F11" s="12"/>
      <c r="G11" s="22" t="s">
        <v>11</v>
      </c>
      <c r="H11" s="26" t="s">
        <v>83</v>
      </c>
      <c r="J11" s="2">
        <v>3.7854100000000002</v>
      </c>
      <c r="K11" s="12" t="s">
        <v>31</v>
      </c>
      <c r="L11" s="11" t="s">
        <v>28</v>
      </c>
      <c r="M11" t="s">
        <v>32</v>
      </c>
    </row>
    <row r="12" spans="2:13" ht="15.6" x14ac:dyDescent="0.35">
      <c r="D12" s="36" t="s">
        <v>109</v>
      </c>
      <c r="E12" s="27">
        <v>3</v>
      </c>
      <c r="F12" s="12" t="s">
        <v>5</v>
      </c>
      <c r="G12" s="11" t="s">
        <v>6</v>
      </c>
      <c r="H12" s="25" t="s">
        <v>7</v>
      </c>
      <c r="J12" s="2">
        <v>453592</v>
      </c>
      <c r="K12" s="12" t="s">
        <v>33</v>
      </c>
      <c r="L12" s="11" t="s">
        <v>28</v>
      </c>
      <c r="M12" t="s">
        <v>34</v>
      </c>
    </row>
    <row r="13" spans="2:13" ht="16.5" customHeight="1" x14ac:dyDescent="0.3">
      <c r="D13" s="36" t="s">
        <v>131</v>
      </c>
      <c r="E13" s="27">
        <v>6</v>
      </c>
      <c r="F13" s="12" t="s">
        <v>8</v>
      </c>
      <c r="G13" s="11" t="s">
        <v>9</v>
      </c>
      <c r="H13" s="25" t="s">
        <v>4</v>
      </c>
    </row>
    <row r="14" spans="2:13" ht="15.6" x14ac:dyDescent="0.35">
      <c r="B14" s="18"/>
      <c r="D14" s="36" t="s">
        <v>110</v>
      </c>
      <c r="E14" s="27">
        <v>0</v>
      </c>
      <c r="F14" s="12" t="s">
        <v>21</v>
      </c>
      <c r="G14" s="11" t="s">
        <v>22</v>
      </c>
      <c r="H14" s="25" t="s">
        <v>23</v>
      </c>
    </row>
    <row r="15" spans="2:13" ht="15.6" x14ac:dyDescent="0.35">
      <c r="D15" s="36" t="s">
        <v>111</v>
      </c>
      <c r="E15" s="27">
        <v>0</v>
      </c>
      <c r="F15" s="12" t="s">
        <v>39</v>
      </c>
      <c r="G15" s="11" t="s">
        <v>22</v>
      </c>
      <c r="H15" s="25" t="s">
        <v>40</v>
      </c>
    </row>
    <row r="18" spans="2:11" x14ac:dyDescent="0.3">
      <c r="D18" s="21" t="s">
        <v>112</v>
      </c>
      <c r="E18" t="s">
        <v>63</v>
      </c>
      <c r="F18" s="7"/>
    </row>
    <row r="19" spans="2:11" x14ac:dyDescent="0.3">
      <c r="B19" s="21" t="s">
        <v>96</v>
      </c>
      <c r="E19" s="14" t="s">
        <v>0</v>
      </c>
      <c r="F19" s="14" t="s">
        <v>1</v>
      </c>
      <c r="G19" s="14" t="s">
        <v>2</v>
      </c>
      <c r="H19" s="14" t="s">
        <v>3</v>
      </c>
    </row>
    <row r="20" spans="2:11" ht="32.25" customHeight="1" x14ac:dyDescent="0.35">
      <c r="B20" s="21" t="s">
        <v>97</v>
      </c>
      <c r="D20" t="s">
        <v>94</v>
      </c>
      <c r="E20" s="28">
        <f>(E8-E11-E10)/E9</f>
        <v>54450</v>
      </c>
      <c r="F20" s="12" t="s">
        <v>101</v>
      </c>
      <c r="G20" s="22" t="s">
        <v>11</v>
      </c>
      <c r="H20" t="s">
        <v>12</v>
      </c>
      <c r="K20" s="7"/>
    </row>
    <row r="21" spans="2:11" ht="15.6" x14ac:dyDescent="0.35">
      <c r="B21" s="23" t="s">
        <v>100</v>
      </c>
      <c r="D21" t="s">
        <v>95</v>
      </c>
      <c r="E21" s="28">
        <f>E20+(E11/E9)</f>
        <v>54450</v>
      </c>
      <c r="F21" s="12" t="s">
        <v>10</v>
      </c>
      <c r="G21" s="11" t="s">
        <v>11</v>
      </c>
      <c r="H21" t="s">
        <v>91</v>
      </c>
    </row>
    <row r="22" spans="2:11" ht="50.25" customHeight="1" x14ac:dyDescent="0.3">
      <c r="B22" s="24" t="s">
        <v>114</v>
      </c>
      <c r="D22" t="s">
        <v>102</v>
      </c>
      <c r="E22" s="28">
        <f>IF(E13=1,E49,IF(E13=2,F49,IF(E13=3,G49,IF(E13=4,H49,IF(E13=5,I49,IF(E13=6,J49,0))))))</f>
        <v>87120</v>
      </c>
      <c r="F22" s="12" t="s">
        <v>19</v>
      </c>
      <c r="G22" s="11" t="s">
        <v>11</v>
      </c>
      <c r="H22" s="5" t="s">
        <v>20</v>
      </c>
    </row>
    <row r="23" spans="2:11" ht="18" x14ac:dyDescent="0.35">
      <c r="D23" s="18" t="s">
        <v>70</v>
      </c>
      <c r="E23" s="28">
        <f>E12*J9</f>
        <v>360</v>
      </c>
      <c r="F23" s="12" t="s">
        <v>27</v>
      </c>
      <c r="G23" s="11" t="s">
        <v>17</v>
      </c>
      <c r="H23" s="6" t="s">
        <v>79</v>
      </c>
    </row>
    <row r="24" spans="2:11" ht="21.75" customHeight="1" x14ac:dyDescent="0.35">
      <c r="E24" s="28">
        <f>E23*J11</f>
        <v>1362.7476000000001</v>
      </c>
      <c r="F24" s="12" t="s">
        <v>43</v>
      </c>
      <c r="G24" s="11" t="s">
        <v>44</v>
      </c>
      <c r="H24" t="s">
        <v>45</v>
      </c>
    </row>
    <row r="27" spans="2:11" x14ac:dyDescent="0.3">
      <c r="E27" t="s">
        <v>65</v>
      </c>
    </row>
    <row r="28" spans="2:11" ht="20.25" customHeight="1" x14ac:dyDescent="0.3">
      <c r="B28" s="21" t="s">
        <v>98</v>
      </c>
      <c r="E28" s="14" t="s">
        <v>0</v>
      </c>
      <c r="F28" s="14" t="s">
        <v>1</v>
      </c>
      <c r="G28" s="14" t="s">
        <v>2</v>
      </c>
      <c r="H28" s="14" t="s">
        <v>3</v>
      </c>
    </row>
    <row r="29" spans="2:11" ht="35.25" customHeight="1" x14ac:dyDescent="0.35">
      <c r="B29" s="21" t="s">
        <v>99</v>
      </c>
      <c r="D29" t="s">
        <v>76</v>
      </c>
      <c r="E29" s="16">
        <f xml:space="preserve"> (360*J11*J8)/E22</f>
        <v>0.93853140495867782</v>
      </c>
      <c r="F29" s="12" t="s">
        <v>60</v>
      </c>
      <c r="G29" s="11" t="s">
        <v>35</v>
      </c>
      <c r="H29" t="s">
        <v>58</v>
      </c>
    </row>
    <row r="30" spans="2:11" ht="39" customHeight="1" x14ac:dyDescent="0.35">
      <c r="B30" s="23" t="s">
        <v>100</v>
      </c>
      <c r="D30" s="18" t="s">
        <v>78</v>
      </c>
      <c r="E30" s="4">
        <f>360*J11*J8*(E21/E22)</f>
        <v>51103.035000000011</v>
      </c>
      <c r="F30" s="12" t="s">
        <v>37</v>
      </c>
      <c r="G30" s="11" t="s">
        <v>35</v>
      </c>
      <c r="H30" t="s">
        <v>38</v>
      </c>
    </row>
    <row r="31" spans="2:11" ht="34.5" customHeight="1" x14ac:dyDescent="0.3">
      <c r="B31" s="37" t="s">
        <v>113</v>
      </c>
      <c r="D31" s="18"/>
      <c r="E31" s="4">
        <f>E29*D61/D59</f>
        <v>9.0130399125205041E-2</v>
      </c>
      <c r="F31" s="12"/>
      <c r="G31" s="11" t="s">
        <v>51</v>
      </c>
      <c r="H31" t="s">
        <v>36</v>
      </c>
    </row>
    <row r="32" spans="2:11" ht="15.6" x14ac:dyDescent="0.3">
      <c r="B32" s="18"/>
      <c r="I32" s="20"/>
    </row>
    <row r="33" spans="2:16" x14ac:dyDescent="0.3">
      <c r="E33" t="s">
        <v>64</v>
      </c>
    </row>
    <row r="34" spans="2:16" x14ac:dyDescent="0.3">
      <c r="B34" s="21" t="s">
        <v>115</v>
      </c>
      <c r="E34" s="14" t="s">
        <v>0</v>
      </c>
      <c r="F34" s="14" t="s">
        <v>1</v>
      </c>
      <c r="G34" s="14" t="s">
        <v>2</v>
      </c>
      <c r="H34" s="14" t="s">
        <v>3</v>
      </c>
    </row>
    <row r="35" spans="2:16" ht="29.4" x14ac:dyDescent="0.35">
      <c r="B35" s="21" t="s">
        <v>116</v>
      </c>
      <c r="D35" s="18" t="s">
        <v>71</v>
      </c>
      <c r="E35" s="4">
        <f>(J8*(1-E14))</f>
        <v>60</v>
      </c>
      <c r="F35" s="12" t="s">
        <v>24</v>
      </c>
      <c r="G35" s="11" t="s">
        <v>25</v>
      </c>
      <c r="H35" s="5" t="s">
        <v>26</v>
      </c>
    </row>
    <row r="36" spans="2:16" ht="29.4" x14ac:dyDescent="0.35">
      <c r="B36" s="23" t="s">
        <v>100</v>
      </c>
      <c r="D36" s="18" t="s">
        <v>72</v>
      </c>
      <c r="E36" s="4">
        <f>(1-E15)*E35</f>
        <v>60</v>
      </c>
      <c r="F36" s="12" t="s">
        <v>41</v>
      </c>
      <c r="G36" s="11" t="s">
        <v>14</v>
      </c>
      <c r="H36" s="5" t="s">
        <v>42</v>
      </c>
    </row>
    <row r="37" spans="2:16" ht="36" customHeight="1" x14ac:dyDescent="0.35">
      <c r="B37" s="38" t="s">
        <v>118</v>
      </c>
      <c r="D37" s="18" t="s">
        <v>77</v>
      </c>
      <c r="E37" s="4">
        <f>(E36*E23*J11)/E21</f>
        <v>1.5016502479338842</v>
      </c>
      <c r="F37" s="12" t="s">
        <v>69</v>
      </c>
      <c r="G37" s="11" t="s">
        <v>35</v>
      </c>
      <c r="H37" t="s">
        <v>57</v>
      </c>
    </row>
    <row r="38" spans="2:16" ht="15.6" x14ac:dyDescent="0.35">
      <c r="D38" s="18" t="s">
        <v>75</v>
      </c>
      <c r="E38" s="4">
        <f>E36*E23*J11</f>
        <v>81764.856</v>
      </c>
      <c r="F38" s="12" t="s">
        <v>47</v>
      </c>
      <c r="G38" s="11" t="s">
        <v>35</v>
      </c>
      <c r="H38" t="s">
        <v>48</v>
      </c>
    </row>
    <row r="41" spans="2:16" x14ac:dyDescent="0.3">
      <c r="B41" s="21" t="s">
        <v>117</v>
      </c>
      <c r="E41" t="s">
        <v>66</v>
      </c>
    </row>
    <row r="42" spans="2:16" x14ac:dyDescent="0.3">
      <c r="B42" s="21" t="s">
        <v>119</v>
      </c>
      <c r="E42" s="14" t="s">
        <v>0</v>
      </c>
      <c r="F42" s="14" t="s">
        <v>1</v>
      </c>
      <c r="G42" s="14" t="s">
        <v>2</v>
      </c>
      <c r="H42" s="14" t="s">
        <v>3</v>
      </c>
    </row>
    <row r="43" spans="2:16" ht="15.6" x14ac:dyDescent="0.35">
      <c r="B43" s="23" t="s">
        <v>100</v>
      </c>
      <c r="D43" s="18" t="s">
        <v>73</v>
      </c>
      <c r="E43" s="4">
        <f>E37-E29</f>
        <v>0.56311884297520642</v>
      </c>
      <c r="F43" s="12" t="s">
        <v>68</v>
      </c>
      <c r="G43" s="11" t="s">
        <v>35</v>
      </c>
      <c r="H43" t="s">
        <v>67</v>
      </c>
    </row>
    <row r="44" spans="2:16" ht="32.25" customHeight="1" x14ac:dyDescent="0.35">
      <c r="B44" s="38" t="s">
        <v>120</v>
      </c>
      <c r="D44" s="18" t="s">
        <v>74</v>
      </c>
      <c r="E44" s="4">
        <f>E38-E30</f>
        <v>30661.820999999989</v>
      </c>
      <c r="F44" s="12" t="s">
        <v>53</v>
      </c>
      <c r="G44" s="11" t="s">
        <v>35</v>
      </c>
      <c r="H44" t="s">
        <v>54</v>
      </c>
    </row>
    <row r="45" spans="2:16" ht="64.5" customHeight="1" x14ac:dyDescent="0.3">
      <c r="B45" s="40" t="s">
        <v>121</v>
      </c>
      <c r="E45" s="4">
        <f>E43*D61/D59</f>
        <v>5.4078239475123004E-2</v>
      </c>
      <c r="F45" s="12"/>
      <c r="G45" s="11" t="s">
        <v>51</v>
      </c>
      <c r="H45" t="s">
        <v>123</v>
      </c>
    </row>
    <row r="46" spans="2:16" x14ac:dyDescent="0.3">
      <c r="J46" s="8"/>
      <c r="K46" s="1"/>
      <c r="L46" s="1"/>
      <c r="M46" s="1"/>
      <c r="N46" s="1"/>
      <c r="O46" s="1"/>
      <c r="P46" s="1"/>
    </row>
    <row r="47" spans="2:16" x14ac:dyDescent="0.3">
      <c r="B47" t="s">
        <v>56</v>
      </c>
      <c r="D47" s="47" t="s">
        <v>124</v>
      </c>
      <c r="E47" s="47"/>
      <c r="F47" s="47"/>
      <c r="G47" s="47"/>
      <c r="H47" s="47"/>
      <c r="I47" s="47"/>
      <c r="J47" s="47"/>
      <c r="K47" s="1"/>
      <c r="L47" s="1"/>
      <c r="M47" s="1"/>
      <c r="N47" s="1"/>
      <c r="O47" s="1"/>
      <c r="P47" s="1"/>
    </row>
    <row r="48" spans="2:16" ht="15" thickBot="1" x14ac:dyDescent="0.35">
      <c r="D48" s="31" t="s">
        <v>127</v>
      </c>
      <c r="E48" s="30">
        <v>1</v>
      </c>
      <c r="F48" s="30">
        <v>2</v>
      </c>
      <c r="G48" s="30">
        <v>3</v>
      </c>
      <c r="H48" s="30">
        <v>4</v>
      </c>
      <c r="I48" s="30">
        <v>5</v>
      </c>
      <c r="J48" s="30">
        <v>6</v>
      </c>
    </row>
    <row r="49" spans="3:10" ht="15" thickTop="1" x14ac:dyDescent="0.3">
      <c r="D49" s="32" t="s">
        <v>59</v>
      </c>
      <c r="E49" s="29">
        <v>43560</v>
      </c>
      <c r="F49" s="29">
        <v>43560</v>
      </c>
      <c r="G49" s="29">
        <v>43560</v>
      </c>
      <c r="H49" s="29">
        <v>43560</v>
      </c>
      <c r="I49" s="29">
        <v>87120</v>
      </c>
      <c r="J49" s="29">
        <v>87120</v>
      </c>
    </row>
    <row r="50" spans="3:10" x14ac:dyDescent="0.3">
      <c r="D50" s="12" t="s">
        <v>126</v>
      </c>
      <c r="E50" s="33">
        <f t="shared" ref="E50:J50" si="0">((3*$D$63)*($D$57*60))/E49</f>
        <v>1.8770628099173554</v>
      </c>
      <c r="F50" s="33">
        <f t="shared" si="0"/>
        <v>1.8770628099173554</v>
      </c>
      <c r="G50" s="33">
        <f t="shared" si="0"/>
        <v>1.8770628099173554</v>
      </c>
      <c r="H50" s="33">
        <f t="shared" si="0"/>
        <v>1.8770628099173554</v>
      </c>
      <c r="I50" s="33">
        <f t="shared" si="0"/>
        <v>0.93853140495867771</v>
      </c>
      <c r="J50" s="33">
        <f t="shared" si="0"/>
        <v>0.93853140495867771</v>
      </c>
    </row>
    <row r="51" spans="3:10" x14ac:dyDescent="0.3">
      <c r="D51" s="12" t="s">
        <v>125</v>
      </c>
      <c r="E51" s="45">
        <f>E50*$D$61/$D$59</f>
        <v>0.18026079825041005</v>
      </c>
      <c r="F51" s="45">
        <f t="shared" ref="F51:J51" si="1">F50*$D$61/$D$59</f>
        <v>0.18026079825041005</v>
      </c>
      <c r="G51" s="45">
        <f t="shared" si="1"/>
        <v>0.18026079825041005</v>
      </c>
      <c r="H51" s="45">
        <f t="shared" si="1"/>
        <v>0.18026079825041005</v>
      </c>
      <c r="I51" s="45">
        <f t="shared" si="1"/>
        <v>9.0130399125205027E-2</v>
      </c>
      <c r="J51" s="45">
        <f t="shared" si="1"/>
        <v>9.0130399125205027E-2</v>
      </c>
    </row>
    <row r="52" spans="3:10" x14ac:dyDescent="0.3">
      <c r="D52" s="12" t="s">
        <v>152</v>
      </c>
      <c r="E52" s="45">
        <v>163529.712</v>
      </c>
      <c r="F52" s="45">
        <v>273975.16364307696</v>
      </c>
      <c r="G52" s="45">
        <v>222604.82045999999</v>
      </c>
      <c r="H52" s="45">
        <v>187456.69091368423</v>
      </c>
      <c r="I52" s="45">
        <v>169603.67273142858</v>
      </c>
      <c r="J52" s="45">
        <v>154855.52727652172</v>
      </c>
    </row>
    <row r="53" spans="3:10" x14ac:dyDescent="0.3">
      <c r="D53" s="12" t="s">
        <v>153</v>
      </c>
      <c r="E53" s="45">
        <v>0.36052159650082011</v>
      </c>
      <c r="F53" s="45">
        <v>0.60401233629137407</v>
      </c>
      <c r="G53" s="45">
        <v>0.49076002323674134</v>
      </c>
      <c r="H53" s="45">
        <v>0.41327159851515066</v>
      </c>
      <c r="I53" s="45">
        <v>0.37391239865656489</v>
      </c>
      <c r="J53" s="45">
        <v>0.34139827703425485</v>
      </c>
    </row>
    <row r="55" spans="3:10" x14ac:dyDescent="0.3">
      <c r="C55" s="17" t="s">
        <v>46</v>
      </c>
      <c r="D55" s="9"/>
    </row>
    <row r="56" spans="3:10" x14ac:dyDescent="0.3">
      <c r="C56" s="9" t="s">
        <v>49</v>
      </c>
      <c r="D56" s="9" t="s">
        <v>50</v>
      </c>
    </row>
    <row r="57" spans="3:10" x14ac:dyDescent="0.3">
      <c r="C57" s="9">
        <v>1</v>
      </c>
      <c r="D57" s="9">
        <v>3.7854100000000002</v>
      </c>
    </row>
    <row r="58" spans="3:10" x14ac:dyDescent="0.3">
      <c r="C58" s="9" t="s">
        <v>51</v>
      </c>
      <c r="D58" s="9" t="s">
        <v>35</v>
      </c>
    </row>
    <row r="59" spans="3:10" x14ac:dyDescent="0.3">
      <c r="C59" s="9">
        <v>1</v>
      </c>
      <c r="D59" s="9">
        <v>453592</v>
      </c>
    </row>
    <row r="60" spans="3:10" x14ac:dyDescent="0.3">
      <c r="C60" s="9" t="s">
        <v>52</v>
      </c>
      <c r="D60" s="9" t="s">
        <v>11</v>
      </c>
    </row>
    <row r="61" spans="3:10" x14ac:dyDescent="0.3">
      <c r="C61" s="9">
        <v>1</v>
      </c>
      <c r="D61" s="9">
        <v>43560</v>
      </c>
    </row>
    <row r="62" spans="3:10" x14ac:dyDescent="0.3">
      <c r="C62" s="9" t="s">
        <v>55</v>
      </c>
      <c r="D62" s="9" t="s">
        <v>17</v>
      </c>
    </row>
    <row r="63" spans="3:10" x14ac:dyDescent="0.3">
      <c r="C63" s="9">
        <v>1</v>
      </c>
      <c r="D63" s="9">
        <v>120</v>
      </c>
    </row>
    <row r="69" spans="12:18" x14ac:dyDescent="0.3">
      <c r="L69" s="1"/>
      <c r="M69" s="1"/>
      <c r="N69" s="1"/>
      <c r="O69" s="1"/>
      <c r="P69" s="1"/>
      <c r="Q69" s="1"/>
      <c r="R69" s="1"/>
    </row>
    <row r="70" spans="12:18" x14ac:dyDescent="0.3">
      <c r="L70" s="1"/>
      <c r="M70" s="1"/>
      <c r="N70" s="1"/>
      <c r="O70" s="1"/>
      <c r="P70" s="1"/>
      <c r="Q70" s="1"/>
      <c r="R70" s="1"/>
    </row>
  </sheetData>
  <mergeCells count="1">
    <mergeCell ref="D47:J47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61"/>
  <sheetViews>
    <sheetView zoomScaleNormal="100" workbookViewId="0">
      <selection activeCell="H33" sqref="H33"/>
    </sheetView>
  </sheetViews>
  <sheetFormatPr defaultRowHeight="14.4" x14ac:dyDescent="0.3"/>
  <cols>
    <col min="2" max="2" width="31.33203125" customWidth="1"/>
    <col min="4" max="4" width="11.5546875" customWidth="1"/>
    <col min="5" max="5" width="17.88671875" customWidth="1"/>
    <col min="6" max="6" width="16.88671875" customWidth="1"/>
    <col min="7" max="7" width="16.33203125" bestFit="1" customWidth="1"/>
    <col min="8" max="8" width="34.5546875" customWidth="1"/>
    <col min="9" max="9" width="21.109375" customWidth="1"/>
    <col min="10" max="10" width="15.109375" bestFit="1" customWidth="1"/>
    <col min="11" max="11" width="15.44140625" customWidth="1"/>
    <col min="12" max="12" width="10.6640625" customWidth="1"/>
    <col min="13" max="13" width="19.5546875" customWidth="1"/>
    <col min="14" max="14" width="10.6640625" customWidth="1"/>
  </cols>
  <sheetData>
    <row r="1" spans="2:13" x14ac:dyDescent="0.3">
      <c r="B1" s="18"/>
    </row>
    <row r="2" spans="2:13" x14ac:dyDescent="0.3">
      <c r="E2" t="s">
        <v>61</v>
      </c>
      <c r="J2" t="s">
        <v>62</v>
      </c>
    </row>
    <row r="3" spans="2:13" ht="16.5" customHeight="1" x14ac:dyDescent="0.3">
      <c r="E3" s="14" t="s">
        <v>0</v>
      </c>
      <c r="F3" s="14" t="s">
        <v>1</v>
      </c>
      <c r="G3" s="14" t="s">
        <v>2</v>
      </c>
      <c r="H3" s="14" t="s">
        <v>3</v>
      </c>
      <c r="J3" s="14" t="s">
        <v>0</v>
      </c>
      <c r="K3" s="14" t="s">
        <v>1</v>
      </c>
      <c r="L3" s="14" t="s">
        <v>2</v>
      </c>
      <c r="M3" s="14" t="s">
        <v>3</v>
      </c>
    </row>
    <row r="4" spans="2:13" ht="15.6" x14ac:dyDescent="0.35">
      <c r="B4" s="18"/>
      <c r="E4" s="15">
        <v>3</v>
      </c>
      <c r="F4" s="12" t="s">
        <v>5</v>
      </c>
      <c r="G4" s="11" t="s">
        <v>6</v>
      </c>
      <c r="H4" t="s">
        <v>7</v>
      </c>
      <c r="J4" s="13">
        <v>60</v>
      </c>
      <c r="K4" s="12" t="s">
        <v>13</v>
      </c>
      <c r="L4" s="11" t="s">
        <v>14</v>
      </c>
      <c r="M4" t="s">
        <v>15</v>
      </c>
    </row>
    <row r="5" spans="2:13" ht="15.6" x14ac:dyDescent="0.35">
      <c r="B5" s="21" t="s">
        <v>80</v>
      </c>
      <c r="E5" s="10">
        <v>6</v>
      </c>
      <c r="F5" s="12" t="s">
        <v>8</v>
      </c>
      <c r="G5" s="11" t="s">
        <v>9</v>
      </c>
      <c r="H5" t="s">
        <v>4</v>
      </c>
      <c r="J5" s="3">
        <v>120</v>
      </c>
      <c r="K5" s="12" t="s">
        <v>16</v>
      </c>
      <c r="L5" s="11" t="s">
        <v>17</v>
      </c>
      <c r="M5" t="s">
        <v>18</v>
      </c>
    </row>
    <row r="6" spans="2:13" ht="15.6" x14ac:dyDescent="0.35">
      <c r="E6" s="10">
        <v>54450</v>
      </c>
      <c r="F6" s="12" t="s">
        <v>10</v>
      </c>
      <c r="G6" s="11" t="s">
        <v>11</v>
      </c>
      <c r="H6" t="s">
        <v>12</v>
      </c>
      <c r="J6" s="2">
        <v>43560</v>
      </c>
      <c r="K6" s="12" t="s">
        <v>29</v>
      </c>
      <c r="L6" s="11" t="s">
        <v>28</v>
      </c>
      <c r="M6" t="s">
        <v>30</v>
      </c>
    </row>
    <row r="7" spans="2:13" ht="15.6" x14ac:dyDescent="0.35">
      <c r="E7" s="10">
        <v>0</v>
      </c>
      <c r="F7" s="12" t="s">
        <v>21</v>
      </c>
      <c r="G7" s="11" t="s">
        <v>22</v>
      </c>
      <c r="H7" t="s">
        <v>23</v>
      </c>
      <c r="J7" s="2">
        <v>3.7854100000000002</v>
      </c>
      <c r="K7" s="12" t="s">
        <v>31</v>
      </c>
      <c r="L7" s="11" t="s">
        <v>28</v>
      </c>
      <c r="M7" t="s">
        <v>32</v>
      </c>
    </row>
    <row r="8" spans="2:13" ht="15.6" x14ac:dyDescent="0.35">
      <c r="B8" s="18"/>
      <c r="E8" s="10">
        <v>0</v>
      </c>
      <c r="F8" s="12" t="s">
        <v>39</v>
      </c>
      <c r="G8" s="11" t="s">
        <v>22</v>
      </c>
      <c r="H8" t="s">
        <v>40</v>
      </c>
      <c r="J8" s="2">
        <v>453592</v>
      </c>
      <c r="K8" s="12" t="s">
        <v>33</v>
      </c>
      <c r="L8" s="11" t="s">
        <v>28</v>
      </c>
      <c r="M8" t="s">
        <v>34</v>
      </c>
    </row>
    <row r="9" spans="2:13" ht="32.25" customHeight="1" x14ac:dyDescent="0.3">
      <c r="K9" s="7"/>
    </row>
    <row r="10" spans="2:13" x14ac:dyDescent="0.3">
      <c r="E10" t="s">
        <v>65</v>
      </c>
      <c r="J10" t="s">
        <v>63</v>
      </c>
      <c r="K10" s="7"/>
    </row>
    <row r="11" spans="2:13" ht="16.5" customHeight="1" x14ac:dyDescent="0.3">
      <c r="E11" s="14" t="s">
        <v>0</v>
      </c>
      <c r="F11" s="14" t="s">
        <v>1</v>
      </c>
      <c r="G11" s="14" t="s">
        <v>2</v>
      </c>
      <c r="H11" s="14" t="s">
        <v>3</v>
      </c>
      <c r="J11" s="14" t="s">
        <v>0</v>
      </c>
      <c r="K11" s="14" t="s">
        <v>1</v>
      </c>
      <c r="L11" s="14" t="s">
        <v>2</v>
      </c>
      <c r="M11" s="14" t="s">
        <v>3</v>
      </c>
    </row>
    <row r="12" spans="2:13" ht="15.6" x14ac:dyDescent="0.35">
      <c r="B12" s="18" t="s">
        <v>146</v>
      </c>
      <c r="E12" s="16">
        <f xml:space="preserve"> (360*J7*J4)/J12</f>
        <v>0.93853140495867782</v>
      </c>
      <c r="F12" s="12" t="s">
        <v>60</v>
      </c>
      <c r="G12" s="11" t="s">
        <v>35</v>
      </c>
      <c r="H12" t="s">
        <v>58</v>
      </c>
      <c r="J12" s="16">
        <f>IF(E5=1,F28,IF(E5=2,G28,IF(E5=3,H28,IF(E5=4,I28,IF(E5=5,J28,IF(E5=6,K28,0))))))</f>
        <v>87120</v>
      </c>
      <c r="K12" s="12" t="s">
        <v>19</v>
      </c>
      <c r="L12" s="11" t="s">
        <v>11</v>
      </c>
      <c r="M12" t="s">
        <v>20</v>
      </c>
    </row>
    <row r="13" spans="2:13" ht="21.75" customHeight="1" x14ac:dyDescent="0.35">
      <c r="B13" s="18" t="s">
        <v>78</v>
      </c>
      <c r="E13" s="4">
        <f>360*J7*J4*(E6/J12)</f>
        <v>51103.035000000011</v>
      </c>
      <c r="F13" s="12" t="s">
        <v>37</v>
      </c>
      <c r="G13" s="11" t="s">
        <v>35</v>
      </c>
      <c r="H13" t="s">
        <v>38</v>
      </c>
      <c r="I13" s="18" t="s">
        <v>70</v>
      </c>
      <c r="J13" s="4">
        <f>E4*J5</f>
        <v>360</v>
      </c>
      <c r="K13" s="12" t="s">
        <v>27</v>
      </c>
      <c r="L13" s="11" t="s">
        <v>17</v>
      </c>
      <c r="M13" s="6" t="s">
        <v>79</v>
      </c>
    </row>
    <row r="14" spans="2:13" ht="15.6" x14ac:dyDescent="0.35">
      <c r="B14" s="18"/>
      <c r="E14" s="4">
        <f>E12*D39/D37</f>
        <v>9.0130399125205041E-2</v>
      </c>
      <c r="F14" s="12"/>
      <c r="G14" s="11" t="s">
        <v>51</v>
      </c>
      <c r="H14" t="s">
        <v>36</v>
      </c>
      <c r="J14" s="4">
        <f>J13*J7</f>
        <v>1362.7476000000001</v>
      </c>
      <c r="K14" s="12" t="s">
        <v>43</v>
      </c>
      <c r="L14" s="11" t="s">
        <v>44</v>
      </c>
      <c r="M14" t="s">
        <v>45</v>
      </c>
    </row>
    <row r="15" spans="2:13" x14ac:dyDescent="0.3">
      <c r="B15" s="18"/>
    </row>
    <row r="17" spans="2:13" x14ac:dyDescent="0.3">
      <c r="E17" t="s">
        <v>64</v>
      </c>
      <c r="J17" t="s">
        <v>66</v>
      </c>
    </row>
    <row r="18" spans="2:13" ht="20.25" customHeight="1" x14ac:dyDescent="0.3">
      <c r="E18" s="14" t="s">
        <v>0</v>
      </c>
      <c r="F18" s="14" t="s">
        <v>1</v>
      </c>
      <c r="G18" s="14" t="s">
        <v>2</v>
      </c>
      <c r="H18" s="14" t="s">
        <v>3</v>
      </c>
      <c r="J18" s="14" t="s">
        <v>0</v>
      </c>
      <c r="K18" s="14" t="s">
        <v>1</v>
      </c>
      <c r="L18" s="14" t="s">
        <v>2</v>
      </c>
      <c r="M18" s="14" t="s">
        <v>3</v>
      </c>
    </row>
    <row r="19" spans="2:13" ht="32.25" customHeight="1" x14ac:dyDescent="0.35">
      <c r="B19" s="18" t="s">
        <v>71</v>
      </c>
      <c r="E19" s="4">
        <f>(J4*(1-E7))</f>
        <v>60</v>
      </c>
      <c r="F19" s="12" t="s">
        <v>24</v>
      </c>
      <c r="G19" s="11" t="s">
        <v>25</v>
      </c>
      <c r="H19" s="5" t="s">
        <v>26</v>
      </c>
      <c r="I19" s="18" t="s">
        <v>73</v>
      </c>
      <c r="J19" s="4">
        <f>E21-E12</f>
        <v>0.56311884297520642</v>
      </c>
      <c r="K19" s="12" t="s">
        <v>68</v>
      </c>
      <c r="L19" s="11" t="s">
        <v>35</v>
      </c>
      <c r="M19" t="s">
        <v>67</v>
      </c>
    </row>
    <row r="20" spans="2:13" ht="39" customHeight="1" x14ac:dyDescent="0.35">
      <c r="B20" s="18" t="s">
        <v>72</v>
      </c>
      <c r="E20" s="4">
        <f>(1-E8)*E19</f>
        <v>60</v>
      </c>
      <c r="F20" s="12" t="s">
        <v>41</v>
      </c>
      <c r="G20" s="11" t="s">
        <v>14</v>
      </c>
      <c r="H20" s="5" t="s">
        <v>42</v>
      </c>
      <c r="I20" s="18" t="s">
        <v>74</v>
      </c>
      <c r="J20" s="4">
        <f>E22-E13</f>
        <v>30661.820999999989</v>
      </c>
      <c r="K20" s="12" t="s">
        <v>53</v>
      </c>
      <c r="L20" s="11" t="s">
        <v>35</v>
      </c>
      <c r="M20" t="s">
        <v>54</v>
      </c>
    </row>
    <row r="21" spans="2:13" ht="15.6" x14ac:dyDescent="0.35">
      <c r="B21" s="18" t="s">
        <v>77</v>
      </c>
      <c r="E21" s="4">
        <f>(E20*J13*J7)/E6</f>
        <v>1.5016502479338842</v>
      </c>
      <c r="F21" s="12" t="s">
        <v>69</v>
      </c>
      <c r="G21" s="11" t="s">
        <v>35</v>
      </c>
      <c r="H21" t="s">
        <v>57</v>
      </c>
      <c r="J21" s="4">
        <f>J19*D39/D37</f>
        <v>5.4078239475123004E-2</v>
      </c>
      <c r="K21" s="12"/>
      <c r="L21" s="11" t="s">
        <v>51</v>
      </c>
      <c r="M21" t="s">
        <v>123</v>
      </c>
    </row>
    <row r="22" spans="2:13" ht="16.2" x14ac:dyDescent="0.35">
      <c r="B22" s="18" t="s">
        <v>75</v>
      </c>
      <c r="E22" s="4">
        <f>E20*J13*J7</f>
        <v>81764.856</v>
      </c>
      <c r="F22" s="12" t="s">
        <v>47</v>
      </c>
      <c r="G22" s="11" t="s">
        <v>35</v>
      </c>
      <c r="H22" t="s">
        <v>48</v>
      </c>
      <c r="I22" s="20"/>
    </row>
    <row r="23" spans="2:13" x14ac:dyDescent="0.3">
      <c r="E23" s="4">
        <f>E22/D37</f>
        <v>0.18026079825041005</v>
      </c>
      <c r="F23" s="12"/>
      <c r="G23" s="11" t="s">
        <v>51</v>
      </c>
      <c r="H23" t="s">
        <v>122</v>
      </c>
    </row>
    <row r="24" spans="2:13" x14ac:dyDescent="0.3">
      <c r="B24" s="18"/>
    </row>
    <row r="25" spans="2:13" x14ac:dyDescent="0.3">
      <c r="B25" s="18"/>
    </row>
    <row r="26" spans="2:13" x14ac:dyDescent="0.3">
      <c r="E26" s="47" t="s">
        <v>124</v>
      </c>
      <c r="F26" s="47"/>
      <c r="G26" s="47"/>
      <c r="H26" s="47"/>
      <c r="I26" s="47"/>
      <c r="J26" s="47"/>
      <c r="K26" s="47"/>
    </row>
    <row r="27" spans="2:13" ht="15" thickBot="1" x14ac:dyDescent="0.35">
      <c r="B27" s="18"/>
      <c r="E27" s="31" t="s">
        <v>4</v>
      </c>
      <c r="F27" s="30">
        <v>1</v>
      </c>
      <c r="G27" s="30">
        <v>2</v>
      </c>
      <c r="H27" s="30">
        <v>3</v>
      </c>
      <c r="I27" s="30">
        <v>4</v>
      </c>
      <c r="J27" s="30">
        <v>5</v>
      </c>
      <c r="K27" s="30">
        <v>6</v>
      </c>
    </row>
    <row r="28" spans="2:13" ht="15" thickTop="1" x14ac:dyDescent="0.3">
      <c r="B28" s="18"/>
      <c r="E28" s="32" t="s">
        <v>59</v>
      </c>
      <c r="F28" s="29">
        <v>43560</v>
      </c>
      <c r="G28" s="29">
        <v>43560</v>
      </c>
      <c r="H28" s="29">
        <v>43560</v>
      </c>
      <c r="I28" s="29">
        <v>43560</v>
      </c>
      <c r="J28" s="29">
        <v>87120</v>
      </c>
      <c r="K28" s="29">
        <v>87120</v>
      </c>
    </row>
    <row r="29" spans="2:13" x14ac:dyDescent="0.3">
      <c r="B29" s="18"/>
      <c r="E29" s="12" t="s">
        <v>126</v>
      </c>
      <c r="F29" s="33">
        <f t="shared" ref="F29:K29" si="0">((3*$D$41)*($D$35*60))/F28</f>
        <v>1.8770628099173554</v>
      </c>
      <c r="G29" s="33">
        <f t="shared" si="0"/>
        <v>1.8770628099173554</v>
      </c>
      <c r="H29" s="33">
        <f t="shared" si="0"/>
        <v>1.8770628099173554</v>
      </c>
      <c r="I29" s="33">
        <f t="shared" si="0"/>
        <v>1.8770628099173554</v>
      </c>
      <c r="J29" s="33">
        <f t="shared" si="0"/>
        <v>0.93853140495867771</v>
      </c>
      <c r="K29" s="33">
        <f t="shared" si="0"/>
        <v>0.93853140495867771</v>
      </c>
    </row>
    <row r="30" spans="2:13" x14ac:dyDescent="0.3">
      <c r="E30" s="12" t="s">
        <v>125</v>
      </c>
      <c r="F30" s="45">
        <f>F29*$D$39/$D$37</f>
        <v>0.18026079825041005</v>
      </c>
      <c r="G30" s="45">
        <f t="shared" ref="G30:K30" si="1">G29*$D$39/$D$37</f>
        <v>0.18026079825041005</v>
      </c>
      <c r="H30" s="45">
        <f t="shared" si="1"/>
        <v>0.18026079825041005</v>
      </c>
      <c r="I30" s="45">
        <f t="shared" si="1"/>
        <v>0.18026079825041005</v>
      </c>
      <c r="J30" s="45">
        <f t="shared" si="1"/>
        <v>9.0130399125205027E-2</v>
      </c>
      <c r="K30" s="45">
        <f t="shared" si="1"/>
        <v>9.0130399125205027E-2</v>
      </c>
    </row>
    <row r="31" spans="2:13" x14ac:dyDescent="0.3">
      <c r="E31" s="12" t="s">
        <v>152</v>
      </c>
      <c r="F31" s="45">
        <v>163529.712</v>
      </c>
      <c r="G31" s="45">
        <v>273975.16364307696</v>
      </c>
      <c r="H31" s="45">
        <v>222604.82045999999</v>
      </c>
      <c r="I31" s="45">
        <v>187456.69091368423</v>
      </c>
      <c r="J31" s="45">
        <v>169603.67273142858</v>
      </c>
      <c r="K31" s="45">
        <v>154855.52727652172</v>
      </c>
    </row>
    <row r="32" spans="2:13" x14ac:dyDescent="0.3">
      <c r="E32" s="12" t="s">
        <v>153</v>
      </c>
      <c r="F32" s="45">
        <v>0.36052159650082011</v>
      </c>
      <c r="G32" s="45">
        <v>0.60401233629137407</v>
      </c>
      <c r="H32" s="45">
        <v>0.49076002323674134</v>
      </c>
      <c r="I32" s="45">
        <v>0.41327159851515066</v>
      </c>
      <c r="J32" s="45">
        <v>0.37391239865656489</v>
      </c>
      <c r="K32" s="45">
        <v>0.34139827703425485</v>
      </c>
    </row>
    <row r="33" spans="2:16" x14ac:dyDescent="0.3">
      <c r="C33" s="19" t="s">
        <v>46</v>
      </c>
      <c r="D33" s="9"/>
    </row>
    <row r="34" spans="2:16" x14ac:dyDescent="0.3">
      <c r="C34" s="9" t="s">
        <v>49</v>
      </c>
      <c r="D34" s="9" t="s">
        <v>50</v>
      </c>
    </row>
    <row r="35" spans="2:16" x14ac:dyDescent="0.3">
      <c r="C35" s="9">
        <v>1</v>
      </c>
      <c r="D35" s="9">
        <v>3.7854100000000002</v>
      </c>
    </row>
    <row r="36" spans="2:16" x14ac:dyDescent="0.3">
      <c r="C36" s="9" t="s">
        <v>51</v>
      </c>
      <c r="D36" s="9" t="s">
        <v>35</v>
      </c>
    </row>
    <row r="37" spans="2:16" x14ac:dyDescent="0.3">
      <c r="C37" s="9">
        <v>1</v>
      </c>
      <c r="D37" s="9">
        <v>453592</v>
      </c>
      <c r="J37" s="8"/>
      <c r="K37" s="1"/>
      <c r="L37" s="1"/>
      <c r="M37" s="1"/>
      <c r="N37" s="1"/>
      <c r="O37" s="1"/>
      <c r="P37" s="1"/>
    </row>
    <row r="38" spans="2:16" x14ac:dyDescent="0.3">
      <c r="B38" t="s">
        <v>56</v>
      </c>
      <c r="C38" s="9" t="s">
        <v>52</v>
      </c>
      <c r="D38" s="9" t="s">
        <v>11</v>
      </c>
      <c r="J38" s="1"/>
      <c r="K38" s="1"/>
      <c r="L38" s="1"/>
      <c r="M38" s="1"/>
      <c r="N38" s="1"/>
      <c r="O38" s="1"/>
      <c r="P38" s="1"/>
    </row>
    <row r="39" spans="2:16" x14ac:dyDescent="0.3">
      <c r="C39" s="9">
        <v>1</v>
      </c>
      <c r="D39" s="9">
        <v>43560</v>
      </c>
    </row>
    <row r="40" spans="2:16" x14ac:dyDescent="0.3">
      <c r="C40" s="9" t="s">
        <v>55</v>
      </c>
      <c r="D40" s="9" t="s">
        <v>17</v>
      </c>
    </row>
    <row r="41" spans="2:16" x14ac:dyDescent="0.3">
      <c r="C41" s="9">
        <v>1</v>
      </c>
      <c r="D41" s="9">
        <v>120</v>
      </c>
    </row>
    <row r="60" spans="12:18" x14ac:dyDescent="0.3">
      <c r="L60" s="1"/>
      <c r="M60" s="1"/>
      <c r="N60" s="1"/>
      <c r="O60" s="1"/>
      <c r="P60" s="1"/>
      <c r="Q60" s="1"/>
      <c r="R60" s="1"/>
    </row>
    <row r="61" spans="12:18" x14ac:dyDescent="0.3">
      <c r="L61" s="1"/>
      <c r="M61" s="1"/>
      <c r="N61" s="1"/>
      <c r="O61" s="1"/>
      <c r="P61" s="1"/>
      <c r="Q61" s="1"/>
      <c r="R61" s="1"/>
    </row>
  </sheetData>
  <mergeCells count="1">
    <mergeCell ref="E26:K26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Subdivision with Public Water</vt:lpstr>
      <vt:lpstr>Single Lot with Public Water</vt:lpstr>
      <vt:lpstr>SubdivisionScenariosPublicWater</vt:lpstr>
      <vt:lpstr>Subdivision with Private Water</vt:lpstr>
      <vt:lpstr>Single Lot with Private Water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Land Area Formulas - Onsite Rule Revision</dc:title>
  <dc:creator>Washington Department of Health</dc:creator>
  <cp:lastModifiedBy>Hamilton, Ben  (DOH)</cp:lastModifiedBy>
  <dcterms:created xsi:type="dcterms:W3CDTF">2019-03-27T20:03:30Z</dcterms:created>
  <dcterms:modified xsi:type="dcterms:W3CDTF">2023-09-19T18:44:57Z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2023-09-13T17:45:37Z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84a1cf9a-a87c-4b47-8ac8-43fd8f0b1047</vt:lpwstr>
  </property>
  <property fmtid="{D5CDD505-2E9C-101B-9397-08002B2CF9AE}" pid="8" name="MSIP_Label_1520fa42-cf58-4c22-8b93-58cf1d3bd1cb_ContentBits">
    <vt:lpwstr>0</vt:lpwstr>
  </property>
</Properties>
</file>