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Tacoma-Pierce" sheetId="1" r:id="rId1"/>
  </sheets>
  <definedNames>
    <definedName name="_xlnm.Print_Titles" localSheetId="0">'Tacoma-Pierce'!$1:$3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<sst xmlns="http://schemas.openxmlformats.org/spreadsheetml/2006/main" count="91" uniqueCount="82">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</sst>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25"/>
          <c:y val="0.1275"/>
          <c:w val="0.39425"/>
          <c:h val="0.81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('Tacoma-Pierce'!$B$70,'Tacoma-Pierce'!$B$76,'Tacoma-Pierce'!$B$81:$B$83)</c:f>
              <c:strCache/>
            </c:strRef>
          </c:cat>
          <c:val>
            <c:numRef>
              <c:f>('Tacoma-Pierce'!$C$70,'Tacoma-Pierce'!$C$76,'Tacoma-Pierce'!$C$81:$C$83)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57</xdr:row>
      <xdr:rowOff>114300</xdr:rowOff>
    </xdr:from>
    <xdr:to>
      <xdr:col>17</xdr:col>
      <xdr:colOff>571500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495800" y="11582400"/>
        <a:ext cx="92964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1" max="1" width="9.28125" style="0" bestFit="1" customWidth="1"/>
    <col min="2" max="2" width="27.421875" style="0" customWidth="1"/>
    <col min="3" max="3" width="11.28125" style="0" customWidth="1"/>
    <col min="4" max="4" width="13.8515625" style="1" customWidth="1"/>
    <col min="5" max="5" width="12.7109375" style="14" customWidth="1"/>
    <col min="6" max="6" width="11.8515625" style="0" customWidth="1" collapsed="1"/>
    <col min="7" max="7" width="12.8515625" style="0" customWidth="1"/>
    <col min="8" max="8" width="11.140625" style="0" customWidth="1"/>
    <col min="9" max="9" width="0.13671875" style="0" hidden="1" customWidth="1"/>
    <col min="10" max="10" width="12.140625" style="0" customWidth="1"/>
    <col min="11" max="11" width="11.28125" style="0" customWidth="1"/>
    <col min="12" max="12" width="12.8515625" style="0" bestFit="1" customWidth="1"/>
    <col min="13" max="13" width="12.8515625" style="0" customWidth="1"/>
    <col min="14" max="14" width="10.8515625" style="0" customWidth="1"/>
    <col min="15" max="15" width="7.8515625" style="0" hidden="1" customWidth="1"/>
    <col min="16" max="16" width="12.8515625" style="0" bestFit="1" customWidth="1"/>
    <col min="17" max="17" width="15.00390625" style="0" customWidth="1"/>
    <col min="18" max="18" width="11.85156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5" t="s">
        <v>64</v>
      </c>
      <c r="G2" s="106"/>
      <c r="H2" s="106"/>
      <c r="I2" s="106"/>
      <c r="J2" s="106"/>
      <c r="K2" s="106"/>
      <c r="L2" s="105" t="s">
        <v>67</v>
      </c>
      <c r="M2" s="106"/>
      <c r="N2" s="106"/>
      <c r="O2" s="77"/>
      <c r="P2" s="105" t="s">
        <v>68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>
        <v>4678053</v>
      </c>
      <c r="E12" s="88">
        <f t="shared" si="0"/>
        <v>4692106</v>
      </c>
      <c r="F12" s="83"/>
      <c r="G12" s="56">
        <v>203117</v>
      </c>
      <c r="H12" s="56"/>
      <c r="I12" s="56"/>
      <c r="J12" s="56"/>
      <c r="K12" s="85">
        <f>61555+744328+296054</f>
        <v>1101937</v>
      </c>
      <c r="L12" s="83"/>
      <c r="M12" s="56">
        <f>7499+36629+688445+245486</f>
        <v>978059</v>
      </c>
      <c r="N12" s="85">
        <f>2569053-1029704</f>
        <v>1539349</v>
      </c>
      <c r="O12" s="52"/>
      <c r="P12" s="56">
        <f>95060+216048</f>
        <v>311108</v>
      </c>
      <c r="Q12" s="56">
        <f>547257+9046</f>
        <v>556303</v>
      </c>
      <c r="R12" s="56">
        <v>2233</v>
      </c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f>1786583+134271</f>
        <v>1920854</v>
      </c>
      <c r="E14" s="88">
        <f aca="true" t="shared" si="1" ref="E14:E54">SUM(F14:R14)</f>
        <v>573407</v>
      </c>
      <c r="F14" s="84"/>
      <c r="G14" s="89">
        <v>50789</v>
      </c>
      <c r="H14" s="89"/>
      <c r="I14" s="89"/>
      <c r="J14" s="89"/>
      <c r="K14" s="90"/>
      <c r="L14" s="84"/>
      <c r="M14" s="89"/>
      <c r="N14" s="90"/>
      <c r="O14" s="54"/>
      <c r="P14" s="89">
        <f>6572+226248</f>
        <v>232820</v>
      </c>
      <c r="Q14" s="89"/>
      <c r="R14" s="89">
        <f>5895+8924+7629+1113+69750+163474+4844+28064+105</f>
        <v>289798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3488904</v>
      </c>
      <c r="E17" s="88">
        <f t="shared" si="1"/>
        <v>3484862</v>
      </c>
      <c r="F17" s="83">
        <v>12133</v>
      </c>
      <c r="G17" s="56">
        <v>178567</v>
      </c>
      <c r="H17" s="56"/>
      <c r="I17" s="56"/>
      <c r="J17" s="56"/>
      <c r="K17" s="85">
        <f>207279+212380+80000</f>
        <v>499659</v>
      </c>
      <c r="L17" s="83">
        <f>17745+20813+579979</f>
        <v>618537</v>
      </c>
      <c r="M17" s="56">
        <f>8751+149521+1043224</f>
        <v>1201496</v>
      </c>
      <c r="N17" s="85">
        <v>136956</v>
      </c>
      <c r="O17" s="52"/>
      <c r="P17" s="56">
        <f>114413+259715+251583+198385</f>
        <v>824096</v>
      </c>
      <c r="Q17" s="56"/>
      <c r="R17" s="56">
        <v>13418</v>
      </c>
    </row>
    <row r="18" spans="1:18" ht="15" customHeight="1">
      <c r="A18" s="10">
        <v>562.24</v>
      </c>
      <c r="B18" s="30" t="s">
        <v>19</v>
      </c>
      <c r="C18" s="46"/>
      <c r="D18" s="51">
        <v>723105</v>
      </c>
      <c r="E18" s="88">
        <f t="shared" si="1"/>
        <v>723104</v>
      </c>
      <c r="F18" s="83"/>
      <c r="G18" s="56"/>
      <c r="H18" s="56"/>
      <c r="I18" s="56"/>
      <c r="J18" s="56"/>
      <c r="K18" s="85">
        <v>45000</v>
      </c>
      <c r="L18" s="83">
        <v>16402</v>
      </c>
      <c r="M18" s="56">
        <v>130383</v>
      </c>
      <c r="N18" s="85"/>
      <c r="O18" s="52"/>
      <c r="P18" s="56">
        <f>17368+10500+276691</f>
        <v>304559</v>
      </c>
      <c r="Q18" s="56"/>
      <c r="R18" s="56">
        <f>203695+23065</f>
        <v>226760</v>
      </c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2929885</v>
      </c>
      <c r="E23" s="88">
        <f t="shared" si="1"/>
        <v>2747738</v>
      </c>
      <c r="F23" s="83"/>
      <c r="G23" s="56"/>
      <c r="H23" s="56"/>
      <c r="I23" s="56"/>
      <c r="J23" s="56"/>
      <c r="K23" s="85">
        <v>626138</v>
      </c>
      <c r="L23" s="83"/>
      <c r="M23" s="56">
        <f>40385+1055408</f>
        <v>1095793</v>
      </c>
      <c r="N23" s="85"/>
      <c r="O23" s="52"/>
      <c r="P23" s="85">
        <f>183689+296075+70229+381250</f>
        <v>931243</v>
      </c>
      <c r="Q23" s="56"/>
      <c r="R23" s="56">
        <f>35+94316+213</f>
        <v>94564</v>
      </c>
    </row>
    <row r="24" spans="1:18" ht="15" customHeight="1">
      <c r="A24" s="10">
        <v>562.32</v>
      </c>
      <c r="B24" s="30" t="s">
        <v>25</v>
      </c>
      <c r="C24" s="46"/>
      <c r="D24" s="51">
        <v>636354</v>
      </c>
      <c r="E24" s="88">
        <f t="shared" si="1"/>
        <v>629391</v>
      </c>
      <c r="F24" s="83"/>
      <c r="G24" s="56">
        <v>288121</v>
      </c>
      <c r="H24" s="56">
        <v>122923</v>
      </c>
      <c r="I24" s="56"/>
      <c r="J24" s="56"/>
      <c r="K24" s="85"/>
      <c r="L24" s="83">
        <v>180347</v>
      </c>
      <c r="M24" s="56"/>
      <c r="N24" s="85"/>
      <c r="O24" s="52"/>
      <c r="P24" s="56"/>
      <c r="Q24" s="56"/>
      <c r="R24" s="56">
        <f>36000+2000</f>
        <v>38000</v>
      </c>
    </row>
    <row r="25" spans="1:18" ht="15" customHeight="1">
      <c r="A25" s="10">
        <v>562.33</v>
      </c>
      <c r="B25" s="30" t="s">
        <v>26</v>
      </c>
      <c r="C25" s="46"/>
      <c r="D25" s="51">
        <v>493648</v>
      </c>
      <c r="E25" s="88">
        <f t="shared" si="1"/>
        <v>493648</v>
      </c>
      <c r="F25" s="83"/>
      <c r="G25" s="56"/>
      <c r="H25" s="56"/>
      <c r="I25" s="56"/>
      <c r="J25" s="56"/>
      <c r="K25" s="85"/>
      <c r="L25" s="83">
        <v>111878</v>
      </c>
      <c r="M25" s="56"/>
      <c r="N25" s="85"/>
      <c r="O25" s="52"/>
      <c r="P25" s="56">
        <v>381770</v>
      </c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627689</v>
      </c>
      <c r="E26" s="88">
        <f t="shared" si="1"/>
        <v>627689</v>
      </c>
      <c r="F26" s="83"/>
      <c r="G26" s="56"/>
      <c r="H26" s="56"/>
      <c r="I26" s="56"/>
      <c r="J26" s="56"/>
      <c r="K26" s="85"/>
      <c r="L26" s="83">
        <v>95400</v>
      </c>
      <c r="M26" s="56">
        <f>144058+25425</f>
        <v>169483</v>
      </c>
      <c r="N26" s="85"/>
      <c r="O26" s="52"/>
      <c r="P26" s="56">
        <v>362806</v>
      </c>
      <c r="Q26" s="56"/>
      <c r="R26" s="56"/>
    </row>
    <row r="27" spans="1:18" ht="15" customHeight="1">
      <c r="A27" s="10">
        <v>562.35</v>
      </c>
      <c r="B27" s="30" t="s">
        <v>28</v>
      </c>
      <c r="C27" s="46"/>
      <c r="D27" s="51">
        <v>753428</v>
      </c>
      <c r="E27" s="88">
        <f t="shared" si="1"/>
        <v>610482</v>
      </c>
      <c r="F27" s="83">
        <v>196967</v>
      </c>
      <c r="G27" s="56">
        <v>7152</v>
      </c>
      <c r="H27" s="56"/>
      <c r="I27" s="56"/>
      <c r="J27" s="56"/>
      <c r="K27" s="85"/>
      <c r="L27" s="94">
        <v>245129</v>
      </c>
      <c r="M27" s="56"/>
      <c r="N27" s="85"/>
      <c r="O27" s="52"/>
      <c r="P27" s="56">
        <v>157801</v>
      </c>
      <c r="Q27" s="56">
        <v>2117</v>
      </c>
      <c r="R27" s="56">
        <v>1316</v>
      </c>
    </row>
    <row r="28" spans="1:18" ht="15" customHeight="1">
      <c r="A28" s="10">
        <v>562.39</v>
      </c>
      <c r="B28" s="30" t="s">
        <v>29</v>
      </c>
      <c r="C28" s="46"/>
      <c r="D28" s="51">
        <v>1464870</v>
      </c>
      <c r="E28" s="88">
        <f t="shared" si="1"/>
        <v>1464870</v>
      </c>
      <c r="F28" s="83"/>
      <c r="G28" s="56">
        <v>933931</v>
      </c>
      <c r="H28" s="56">
        <v>268029</v>
      </c>
      <c r="I28" s="56"/>
      <c r="J28" s="56"/>
      <c r="K28" s="85"/>
      <c r="L28" s="83"/>
      <c r="M28" s="56"/>
      <c r="N28" s="85"/>
      <c r="O28" s="52"/>
      <c r="P28" s="56">
        <f>162711+90349</f>
        <v>253060</v>
      </c>
      <c r="Q28" s="56">
        <v>480</v>
      </c>
      <c r="R28" s="56">
        <f>9000+370</f>
        <v>9370</v>
      </c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704609</v>
      </c>
      <c r="E30" s="88">
        <f t="shared" si="1"/>
        <v>704608</v>
      </c>
      <c r="F30" s="83"/>
      <c r="G30" s="56">
        <v>132402</v>
      </c>
      <c r="H30" s="56"/>
      <c r="I30" s="56"/>
      <c r="J30" s="56">
        <v>369306</v>
      </c>
      <c r="K30" s="85"/>
      <c r="L30" s="83"/>
      <c r="M30" s="56"/>
      <c r="N30" s="85"/>
      <c r="O30" s="52"/>
      <c r="P30" s="56">
        <v>201880</v>
      </c>
      <c r="Q30" s="56"/>
      <c r="R30" s="56">
        <v>1020</v>
      </c>
    </row>
    <row r="31" spans="1:18" ht="15" customHeight="1">
      <c r="A31" s="10">
        <v>562.43</v>
      </c>
      <c r="B31" s="30" t="s">
        <v>31</v>
      </c>
      <c r="C31" s="46"/>
      <c r="D31" s="51">
        <v>540437</v>
      </c>
      <c r="E31" s="88">
        <f t="shared" si="1"/>
        <v>535644</v>
      </c>
      <c r="F31" s="83">
        <v>97922</v>
      </c>
      <c r="G31" s="56">
        <v>352</v>
      </c>
      <c r="H31" s="56"/>
      <c r="I31" s="56"/>
      <c r="J31" s="56"/>
      <c r="K31" s="85"/>
      <c r="L31" s="83">
        <v>299697</v>
      </c>
      <c r="M31" s="56"/>
      <c r="N31" s="85"/>
      <c r="O31" s="52"/>
      <c r="P31" s="56">
        <v>63575</v>
      </c>
      <c r="Q31" s="56"/>
      <c r="R31" s="56">
        <f>73119+979</f>
        <v>74098</v>
      </c>
    </row>
    <row r="32" spans="1:18" ht="15" customHeight="1">
      <c r="A32" s="10">
        <v>562.44</v>
      </c>
      <c r="B32" s="30" t="s">
        <v>32</v>
      </c>
      <c r="C32" s="46"/>
      <c r="D32" s="51">
        <v>969192</v>
      </c>
      <c r="E32" s="88">
        <f t="shared" si="1"/>
        <v>969192</v>
      </c>
      <c r="F32" s="83">
        <v>59174</v>
      </c>
      <c r="G32" s="56">
        <v>909773</v>
      </c>
      <c r="H32" s="56"/>
      <c r="I32" s="56"/>
      <c r="J32" s="56"/>
      <c r="K32" s="85"/>
      <c r="L32" s="83"/>
      <c r="M32" s="56"/>
      <c r="N32" s="85"/>
      <c r="O32" s="52"/>
      <c r="P32" s="56"/>
      <c r="Q32" s="56">
        <f>145+100</f>
        <v>245</v>
      </c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369426</v>
      </c>
      <c r="E34" s="88">
        <f t="shared" si="1"/>
        <v>369425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>
        <f>285699+81226</f>
        <v>366925</v>
      </c>
      <c r="Q34" s="56"/>
      <c r="R34" s="56">
        <v>2500</v>
      </c>
    </row>
    <row r="35" spans="1:18" ht="15" customHeight="1">
      <c r="A35" s="10">
        <v>562.52</v>
      </c>
      <c r="B35" s="30" t="s">
        <v>35</v>
      </c>
      <c r="C35" s="46"/>
      <c r="D35" s="51">
        <v>757579</v>
      </c>
      <c r="E35" s="88">
        <f t="shared" si="1"/>
        <v>754500</v>
      </c>
      <c r="F35" s="83"/>
      <c r="G35" s="56"/>
      <c r="H35" s="56"/>
      <c r="I35" s="56"/>
      <c r="J35" s="56">
        <v>153664</v>
      </c>
      <c r="K35" s="85"/>
      <c r="L35" s="83"/>
      <c r="M35" s="56"/>
      <c r="N35" s="85"/>
      <c r="O35" s="52"/>
      <c r="P35" s="56">
        <f>335906+29241</f>
        <v>365147</v>
      </c>
      <c r="Q35" s="56">
        <f>141052+9561+14000+16250+2460+46556</f>
        <v>229879</v>
      </c>
      <c r="R35" s="56">
        <v>5810</v>
      </c>
    </row>
    <row r="36" spans="1:18" ht="15" customHeight="1">
      <c r="A36" s="10">
        <v>562.53</v>
      </c>
      <c r="B36" s="30" t="s">
        <v>36</v>
      </c>
      <c r="C36" s="46"/>
      <c r="D36" s="51">
        <v>2833133</v>
      </c>
      <c r="E36" s="88">
        <f t="shared" si="1"/>
        <v>2867079</v>
      </c>
      <c r="F36" s="83"/>
      <c r="G36" s="56">
        <v>34752</v>
      </c>
      <c r="H36" s="56"/>
      <c r="I36" s="56"/>
      <c r="J36" s="56"/>
      <c r="K36" s="85">
        <v>1328495</v>
      </c>
      <c r="L36" s="83"/>
      <c r="M36" s="56">
        <v>64855</v>
      </c>
      <c r="N36" s="85"/>
      <c r="O36" s="52"/>
      <c r="P36" s="56">
        <f>214296+340697+5000+50701</f>
        <v>610694</v>
      </c>
      <c r="Q36" s="56">
        <f>1410+32179+120077+42231+12230+519813+67860+3062</f>
        <v>798862</v>
      </c>
      <c r="R36" s="56">
        <v>29421</v>
      </c>
    </row>
    <row r="37" spans="1:18" ht="15" customHeight="1">
      <c r="A37" s="10">
        <v>562.54</v>
      </c>
      <c r="B37" s="30" t="s">
        <v>37</v>
      </c>
      <c r="C37" s="46"/>
      <c r="D37" s="51">
        <v>2188302</v>
      </c>
      <c r="E37" s="88">
        <f t="shared" si="1"/>
        <v>2255802</v>
      </c>
      <c r="F37" s="83">
        <v>43588</v>
      </c>
      <c r="G37" s="56"/>
      <c r="H37" s="56"/>
      <c r="I37" s="56"/>
      <c r="J37" s="56"/>
      <c r="K37" s="85"/>
      <c r="L37" s="83">
        <v>66618</v>
      </c>
      <c r="M37" s="56"/>
      <c r="N37" s="85"/>
      <c r="O37" s="52"/>
      <c r="P37" s="56"/>
      <c r="Q37" s="56">
        <f>91030+226191+5163+339995+51463+16347+34043+12293+708637+88515+548628</f>
        <v>2122305</v>
      </c>
      <c r="R37" s="56">
        <v>23291</v>
      </c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2895490</v>
      </c>
      <c r="E39" s="88">
        <f t="shared" si="1"/>
        <v>3030474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1497109+207628+72573+863258+76739+97641+46734+157994</f>
        <v>3019676</v>
      </c>
      <c r="R39" s="56">
        <v>10798</v>
      </c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250693</v>
      </c>
      <c r="E41" s="88">
        <f t="shared" si="1"/>
        <v>268848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f>210633+4485+6535+210+8105+38440+440</f>
        <v>268848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175528</v>
      </c>
      <c r="E42" s="91">
        <f t="shared" si="1"/>
        <v>180356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>
        <f>171566+3962+4828</f>
        <v>180356</v>
      </c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>
        <v>708930</v>
      </c>
      <c r="E43" s="88">
        <f t="shared" si="1"/>
        <v>693811</v>
      </c>
      <c r="F43" s="83">
        <v>11457</v>
      </c>
      <c r="G43" s="56"/>
      <c r="H43" s="56"/>
      <c r="I43" s="56"/>
      <c r="J43" s="56"/>
      <c r="K43" s="85">
        <v>26148</v>
      </c>
      <c r="L43" s="83">
        <f>61834+6478</f>
        <v>68312</v>
      </c>
      <c r="M43" s="56">
        <f>236852+5059</f>
        <v>241911</v>
      </c>
      <c r="N43" s="85"/>
      <c r="O43" s="52"/>
      <c r="P43" s="56">
        <f>4619+27483+199000</f>
        <v>231102</v>
      </c>
      <c r="Q43" s="56">
        <f>46660+68221</f>
        <v>114881</v>
      </c>
      <c r="R43" s="56"/>
    </row>
    <row r="44" spans="1:18" ht="15" customHeight="1">
      <c r="A44" s="10">
        <v>562.71</v>
      </c>
      <c r="B44" s="30" t="s">
        <v>44</v>
      </c>
      <c r="C44" s="46"/>
      <c r="D44" s="51">
        <v>515947</v>
      </c>
      <c r="E44" s="88">
        <f t="shared" si="1"/>
        <v>514797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f>444640+63943</f>
        <v>508583</v>
      </c>
      <c r="R44" s="56">
        <f>-80+6294</f>
        <v>6214</v>
      </c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>
        <v>653649</v>
      </c>
      <c r="E46" s="88">
        <f t="shared" si="1"/>
        <v>653649</v>
      </c>
      <c r="F46" s="83"/>
      <c r="G46" s="56">
        <v>777</v>
      </c>
      <c r="H46" s="56"/>
      <c r="I46" s="56"/>
      <c r="J46" s="56"/>
      <c r="K46" s="85"/>
      <c r="L46" s="83">
        <v>-170</v>
      </c>
      <c r="M46" s="56">
        <v>653042</v>
      </c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637551</v>
      </c>
      <c r="E49" s="88">
        <f t="shared" si="1"/>
        <v>640295</v>
      </c>
      <c r="F49" s="83"/>
      <c r="G49" s="56">
        <v>57139</v>
      </c>
      <c r="H49" s="56">
        <v>41260</v>
      </c>
      <c r="I49" s="56"/>
      <c r="J49" s="56">
        <v>367362</v>
      </c>
      <c r="K49" s="85"/>
      <c r="L49" s="83">
        <v>53336</v>
      </c>
      <c r="M49" s="56"/>
      <c r="N49" s="85"/>
      <c r="O49" s="52"/>
      <c r="P49" s="56">
        <v>73423</v>
      </c>
      <c r="Q49" s="56">
        <f>80+16160</f>
        <v>16240</v>
      </c>
      <c r="R49" s="56">
        <f>8696+22839</f>
        <v>31535</v>
      </c>
    </row>
    <row r="50" spans="1:18" ht="15" customHeight="1">
      <c r="A50" s="10">
        <v>562.88</v>
      </c>
      <c r="B50" s="30" t="s">
        <v>57</v>
      </c>
      <c r="C50" s="46"/>
      <c r="D50" s="51">
        <v>974323</v>
      </c>
      <c r="E50" s="88">
        <f t="shared" si="1"/>
        <v>994033</v>
      </c>
      <c r="F50" s="83"/>
      <c r="G50" s="56">
        <v>22966</v>
      </c>
      <c r="H50" s="56"/>
      <c r="I50" s="56"/>
      <c r="J50" s="56"/>
      <c r="K50" s="85"/>
      <c r="L50" s="83">
        <f>704422+132312</f>
        <v>836734</v>
      </c>
      <c r="M50" s="56">
        <v>133920</v>
      </c>
      <c r="N50" s="85"/>
      <c r="O50" s="52"/>
      <c r="P50" s="56"/>
      <c r="Q50" s="56"/>
      <c r="R50" s="56">
        <v>413</v>
      </c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13475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>
        <v>9635</v>
      </c>
      <c r="Q51" s="56"/>
      <c r="R51" s="56">
        <v>3840</v>
      </c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>
        <v>431635</v>
      </c>
      <c r="E54" s="100">
        <f t="shared" si="1"/>
        <v>431635</v>
      </c>
      <c r="F54" s="86"/>
      <c r="G54" s="92">
        <v>750</v>
      </c>
      <c r="H54" s="92"/>
      <c r="I54" s="92"/>
      <c r="J54" s="92"/>
      <c r="K54" s="93"/>
      <c r="L54" s="86"/>
      <c r="M54" s="92"/>
      <c r="N54" s="93"/>
      <c r="O54" s="58"/>
      <c r="P54" s="92">
        <f>194995+151208+84538</f>
        <v>430741</v>
      </c>
      <c r="Q54" s="92"/>
      <c r="R54" s="92">
        <v>144</v>
      </c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33323214</v>
      </c>
      <c r="E55" s="96">
        <f t="shared" si="2"/>
        <v>31924920</v>
      </c>
      <c r="F55" s="97">
        <f t="shared" si="2"/>
        <v>421241</v>
      </c>
      <c r="G55" s="98">
        <f t="shared" si="2"/>
        <v>2820588</v>
      </c>
      <c r="H55" s="98">
        <f t="shared" si="2"/>
        <v>432212</v>
      </c>
      <c r="I55" s="98">
        <f t="shared" si="2"/>
        <v>0</v>
      </c>
      <c r="J55" s="98">
        <f>SUM(J4:J54)</f>
        <v>890332</v>
      </c>
      <c r="K55" s="99">
        <f>SUM(K4:K54)</f>
        <v>3627377</v>
      </c>
      <c r="L55" s="97">
        <f>SUM(L4:L54)</f>
        <v>2592220</v>
      </c>
      <c r="M55" s="98">
        <f t="shared" si="2"/>
        <v>4668942</v>
      </c>
      <c r="N55" s="99">
        <f t="shared" si="2"/>
        <v>1676305</v>
      </c>
      <c r="O55" s="95">
        <f t="shared" si="2"/>
        <v>0</v>
      </c>
      <c r="P55" s="98">
        <f t="shared" si="2"/>
        <v>6292741</v>
      </c>
      <c r="Q55" s="98">
        <f t="shared" si="2"/>
        <v>7638419</v>
      </c>
      <c r="R55" s="98">
        <f t="shared" si="2"/>
        <v>864543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278.45</v>
      </c>
      <c r="E59" s="22"/>
    </row>
    <row r="60" spans="1:6" ht="12.75">
      <c r="A60" s="13"/>
      <c r="B60" s="27" t="s">
        <v>81</v>
      </c>
      <c r="D60" s="50">
        <v>808200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0.11854316000686442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8191750</v>
      </c>
      <c r="D70" s="63">
        <f>SUM(D71:D75)</f>
        <v>0.25659422169264634</v>
      </c>
      <c r="E70" s="1"/>
      <c r="F70" s="1"/>
      <c r="G70" s="1"/>
    </row>
    <row r="71" spans="2:7" ht="12.75">
      <c r="B71" s="33" t="s">
        <v>58</v>
      </c>
      <c r="C71" s="43">
        <f>F55</f>
        <v>421241</v>
      </c>
      <c r="D71" s="64">
        <f>F55/$E$55</f>
        <v>0.013194739407334458</v>
      </c>
      <c r="E71" s="1"/>
      <c r="F71" s="1"/>
      <c r="G71" s="1"/>
    </row>
    <row r="72" spans="2:7" ht="12.75">
      <c r="B72" s="33" t="s">
        <v>74</v>
      </c>
      <c r="C72" s="44">
        <f>G55</f>
        <v>2820588</v>
      </c>
      <c r="D72" s="64">
        <f>G55/$E$55</f>
        <v>0.08835066775421833</v>
      </c>
      <c r="E72" s="1"/>
      <c r="F72" s="1"/>
      <c r="G72" s="1"/>
    </row>
    <row r="73" spans="2:7" ht="12.75">
      <c r="B73" s="33" t="s">
        <v>77</v>
      </c>
      <c r="C73" s="44">
        <f>H55</f>
        <v>432212</v>
      </c>
      <c r="D73" s="64">
        <f>H55/$E$55</f>
        <v>0.013538389446238237</v>
      </c>
      <c r="E73" s="1"/>
      <c r="F73" s="1"/>
      <c r="G73" s="1"/>
    </row>
    <row r="74" spans="2:7" ht="12.75">
      <c r="B74" s="33" t="s">
        <v>70</v>
      </c>
      <c r="C74" s="44">
        <f>J55</f>
        <v>890332</v>
      </c>
      <c r="D74" s="64">
        <f>J55/$E$55</f>
        <v>0.027888307942510113</v>
      </c>
      <c r="E74" s="1"/>
      <c r="F74" s="1"/>
      <c r="G74" s="1"/>
    </row>
    <row r="75" spans="2:5" ht="13.5" thickBot="1">
      <c r="B75" s="38" t="s">
        <v>69</v>
      </c>
      <c r="C75" s="42">
        <f>K55</f>
        <v>3627377</v>
      </c>
      <c r="D75" s="65">
        <f>K55/$E$55</f>
        <v>0.11362211714234523</v>
      </c>
      <c r="E75" s="1"/>
    </row>
    <row r="76" spans="2:5" ht="13.5" thickTop="1">
      <c r="B76" s="36" t="s">
        <v>67</v>
      </c>
      <c r="C76" s="102">
        <f>SUM(C77:C79)</f>
        <v>8937467</v>
      </c>
      <c r="D76" s="66">
        <f>SUM(D77:D79)</f>
        <v>0.2799526827318596</v>
      </c>
      <c r="E76" s="1"/>
    </row>
    <row r="77" spans="2:5" ht="12.75">
      <c r="B77" s="33" t="s">
        <v>65</v>
      </c>
      <c r="C77" s="44">
        <f>L55</f>
        <v>2592220</v>
      </c>
      <c r="D77" s="64">
        <f>L55/$E$55</f>
        <v>0.08119738436306183</v>
      </c>
      <c r="E77" s="1"/>
    </row>
    <row r="78" spans="2:5" ht="18.75" customHeight="1">
      <c r="B78" s="33" t="s">
        <v>66</v>
      </c>
      <c r="C78" s="44">
        <f>M55</f>
        <v>4668942</v>
      </c>
      <c r="D78" s="64">
        <f>M55/$E$55</f>
        <v>0.14624757086313764</v>
      </c>
      <c r="E78" s="1"/>
    </row>
    <row r="79" spans="2:5" ht="26.25" thickBot="1">
      <c r="B79" s="37" t="s">
        <v>71</v>
      </c>
      <c r="C79" s="42">
        <f>N55</f>
        <v>1676305</v>
      </c>
      <c r="D79" s="65">
        <f>N55/$E$55</f>
        <v>0.05250772750566016</v>
      </c>
      <c r="E79" s="1"/>
    </row>
    <row r="80" spans="2:5" ht="13.5" thickTop="1">
      <c r="B80" s="39" t="s">
        <v>68</v>
      </c>
      <c r="C80" s="103">
        <f>SUM(C81:C83)</f>
        <v>14795703</v>
      </c>
      <c r="D80" s="67">
        <f>SUM(D81:D83)</f>
        <v>0.46345309557549397</v>
      </c>
      <c r="E80" s="1"/>
    </row>
    <row r="81" spans="2:5" ht="12.75">
      <c r="B81" s="33" t="s">
        <v>59</v>
      </c>
      <c r="C81" s="44">
        <f>P55</f>
        <v>6292741</v>
      </c>
      <c r="D81" s="64">
        <f>P55/$E$55</f>
        <v>0.19711062705873655</v>
      </c>
      <c r="E81" s="1"/>
    </row>
    <row r="82" spans="2:5" ht="12.75">
      <c r="B82" s="33" t="s">
        <v>61</v>
      </c>
      <c r="C82" s="44">
        <f>Q55</f>
        <v>7638419</v>
      </c>
      <c r="D82" s="64">
        <f>Q55/$E$55</f>
        <v>0.23926196212864434</v>
      </c>
      <c r="E82" s="1"/>
    </row>
    <row r="83" spans="2:5" ht="13.5" thickBot="1">
      <c r="B83" s="34" t="s">
        <v>4</v>
      </c>
      <c r="C83" s="45">
        <f>R55</f>
        <v>864543</v>
      </c>
      <c r="D83" s="68">
        <f>R55/$E$55</f>
        <v>0.027080506388113112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2014-01-18T00:34:41Z</dcterms:modified>
  <cp:category/>
  <cp:version/>
  <cp:contentType/>
  <cp:contentStatus/>
</cp:coreProperties>
</file>