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Tacoma-Pierce Pgs 64-65" sheetId="1" r:id="rId1"/>
  </sheets>
  <definedNames>
    <definedName name="_xlnm.Print_Area" localSheetId="0">'Tacoma-Pierce Pgs 64-65'!$A$1:$O$88</definedName>
    <definedName name="_xlnm.Print_Titles" localSheetId="0">'Tacoma-Pierce Pgs 64-65'!$1:$4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<sst xmlns="http://schemas.openxmlformats.org/spreadsheetml/2006/main" count="95" uniqueCount="87">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</sst>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('Tacoma-Pierce Pgs 64-65'!$B$61,'Tacoma-Pierce Pgs 64-65'!$B$69,'Tacoma-Pierce Pgs 64-65'!$B$74:$B$76)</c:f>
              <c:strCache/>
            </c:strRef>
          </c:cat>
          <c:val>
            <c:numRef>
              <c:f>('Tacoma-Pierce Pgs 64-65'!$C$68,'Tacoma-Pierce Pgs 64-65'!$C$72,'Tacoma-Pierce Pgs 64-65'!$C$74:$C$76)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814500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250.75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653831</v>
      </c>
      <c r="D5" s="10">
        <f>SUM(E5:O5)</f>
        <v>270900</v>
      </c>
      <c r="E5" s="13">
        <v>0</v>
      </c>
      <c r="F5" s="7">
        <v>19440</v>
      </c>
      <c r="G5" s="7">
        <v>0</v>
      </c>
      <c r="H5" s="7">
        <v>0</v>
      </c>
      <c r="I5" s="19">
        <v>9284</v>
      </c>
      <c r="J5" s="34">
        <v>0</v>
      </c>
      <c r="K5" s="13">
        <v>225072</v>
      </c>
      <c r="L5" s="35">
        <v>0</v>
      </c>
      <c r="M5" s="7">
        <v>0</v>
      </c>
      <c r="N5" s="80">
        <v>0</v>
      </c>
      <c r="O5" s="13">
        <f>500+16604</f>
        <v>17104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3621230</v>
      </c>
      <c r="D7" s="10">
        <f t="shared" si="0"/>
        <v>3621232</v>
      </c>
      <c r="E7" s="11"/>
      <c r="F7" s="5">
        <v>107818</v>
      </c>
      <c r="G7" s="5"/>
      <c r="H7" s="5"/>
      <c r="I7" s="6">
        <v>505792</v>
      </c>
      <c r="J7" s="12">
        <f>211076+12755+270681+80000</f>
        <v>574512</v>
      </c>
      <c r="K7" s="11">
        <f>16821+57664+15072+13322+570332</f>
        <v>673211</v>
      </c>
      <c r="L7" s="14">
        <f>15000+79571+993146</f>
        <v>1087717</v>
      </c>
      <c r="M7" s="5">
        <f>116591+211750+154657</f>
        <v>482998</v>
      </c>
      <c r="N7" s="10">
        <f>36985+76012+63080</f>
        <v>176077</v>
      </c>
      <c r="O7" s="11">
        <f>13000+107</f>
        <v>13107</v>
      </c>
    </row>
    <row r="8" spans="1:15" ht="15">
      <c r="A8" s="36">
        <v>562.24</v>
      </c>
      <c r="B8" s="37" t="s">
        <v>16</v>
      </c>
      <c r="C8" s="11">
        <v>391408</v>
      </c>
      <c r="D8" s="10">
        <f t="shared" si="0"/>
        <v>436562</v>
      </c>
      <c r="E8" s="11"/>
      <c r="F8" s="5">
        <v>95986</v>
      </c>
      <c r="G8" s="5"/>
      <c r="H8" s="5">
        <v>23274</v>
      </c>
      <c r="I8" s="6"/>
      <c r="J8" s="12">
        <v>29563</v>
      </c>
      <c r="K8" s="11">
        <v>41792</v>
      </c>
      <c r="L8" s="14">
        <v>209147</v>
      </c>
      <c r="M8" s="5">
        <v>21300</v>
      </c>
      <c r="N8" s="10"/>
      <c r="O8" s="11">
        <v>15500</v>
      </c>
    </row>
    <row r="9" spans="1:15" ht="15">
      <c r="A9" s="36">
        <v>562.25</v>
      </c>
      <c r="B9" s="59" t="s">
        <v>60</v>
      </c>
      <c r="C9" s="11"/>
      <c r="D9" s="10">
        <f t="shared" si="0"/>
        <v>0</v>
      </c>
      <c r="E9" s="11"/>
      <c r="F9" s="5"/>
      <c r="G9" s="5"/>
      <c r="H9" s="5"/>
      <c r="I9" s="6"/>
      <c r="J9" s="12"/>
      <c r="K9" s="11"/>
      <c r="L9" s="14"/>
      <c r="M9" s="5"/>
      <c r="N9" s="10"/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/>
      <c r="D12" s="10">
        <f t="shared" si="0"/>
        <v>0</v>
      </c>
      <c r="E12" s="11"/>
      <c r="F12" s="5"/>
      <c r="G12" s="5"/>
      <c r="H12" s="5"/>
      <c r="I12" s="6"/>
      <c r="J12" s="12"/>
      <c r="K12" s="11"/>
      <c r="L12" s="14"/>
      <c r="M12" s="5"/>
      <c r="N12" s="10"/>
      <c r="O12" s="11"/>
    </row>
    <row r="13" spans="1:15" ht="15">
      <c r="A13" s="36">
        <v>562.29</v>
      </c>
      <c r="B13" s="59" t="s">
        <v>53</v>
      </c>
      <c r="C13" s="11">
        <v>2476082</v>
      </c>
      <c r="D13" s="10">
        <f t="shared" si="0"/>
        <v>2476083</v>
      </c>
      <c r="E13" s="11"/>
      <c r="F13" s="5">
        <v>59145</v>
      </c>
      <c r="G13" s="5"/>
      <c r="H13" s="5"/>
      <c r="I13" s="6">
        <v>37688</v>
      </c>
      <c r="J13" s="12">
        <v>626138</v>
      </c>
      <c r="K13" s="11">
        <v>25820</v>
      </c>
      <c r="L13" s="14">
        <f>-420+824206</f>
        <v>823786</v>
      </c>
      <c r="M13" s="5">
        <f>209389+45000+365500+278685</f>
        <v>898574</v>
      </c>
      <c r="N13" s="10"/>
      <c r="O13" s="11">
        <f>1992+2940</f>
        <v>4932</v>
      </c>
    </row>
    <row r="14" spans="1:15" ht="15">
      <c r="A14" s="36">
        <v>562.32</v>
      </c>
      <c r="B14" s="37" t="s">
        <v>17</v>
      </c>
      <c r="C14" s="11">
        <v>430811</v>
      </c>
      <c r="D14" s="10">
        <f t="shared" si="0"/>
        <v>705349</v>
      </c>
      <c r="E14" s="11">
        <v>30042</v>
      </c>
      <c r="F14" s="5">
        <v>141058</v>
      </c>
      <c r="G14" s="5">
        <v>127525</v>
      </c>
      <c r="H14" s="5"/>
      <c r="I14" s="6">
        <v>145544</v>
      </c>
      <c r="J14" s="12"/>
      <c r="K14" s="11">
        <f>240103+19077</f>
        <v>259180</v>
      </c>
      <c r="L14" s="14">
        <v>2000</v>
      </c>
      <c r="M14" s="5"/>
      <c r="N14" s="10"/>
      <c r="O14" s="11"/>
    </row>
    <row r="15" spans="1:15" ht="15">
      <c r="A15" s="36">
        <v>562.33</v>
      </c>
      <c r="B15" s="59" t="s">
        <v>62</v>
      </c>
      <c r="C15" s="11">
        <v>579196</v>
      </c>
      <c r="D15" s="10">
        <f t="shared" si="0"/>
        <v>579196</v>
      </c>
      <c r="E15" s="11"/>
      <c r="F15" s="5"/>
      <c r="G15" s="5"/>
      <c r="H15" s="5"/>
      <c r="I15" s="6"/>
      <c r="J15" s="12"/>
      <c r="K15" s="11">
        <v>138665</v>
      </c>
      <c r="L15" s="14"/>
      <c r="M15" s="5">
        <f>340531+100000</f>
        <v>440531</v>
      </c>
      <c r="N15" s="10"/>
      <c r="O15" s="11"/>
    </row>
    <row r="16" spans="1:15" ht="15">
      <c r="A16" s="36">
        <v>562.34</v>
      </c>
      <c r="B16" s="37" t="s">
        <v>18</v>
      </c>
      <c r="C16" s="11">
        <v>556727</v>
      </c>
      <c r="D16" s="10">
        <f t="shared" si="0"/>
        <v>556728</v>
      </c>
      <c r="E16" s="11"/>
      <c r="F16" s="5">
        <v>185811</v>
      </c>
      <c r="G16" s="5"/>
      <c r="H16" s="5"/>
      <c r="I16" s="6">
        <v>182015</v>
      </c>
      <c r="J16" s="12"/>
      <c r="K16" s="11">
        <v>113537</v>
      </c>
      <c r="L16" s="14">
        <f>73270+1825</f>
        <v>75095</v>
      </c>
      <c r="M16" s="5"/>
      <c r="N16" s="10"/>
      <c r="O16" s="11">
        <v>270</v>
      </c>
    </row>
    <row r="17" spans="1:15" ht="15">
      <c r="A17" s="36">
        <v>562.35</v>
      </c>
      <c r="B17" s="37" t="s">
        <v>19</v>
      </c>
      <c r="C17" s="11">
        <v>824732</v>
      </c>
      <c r="D17" s="10">
        <f t="shared" si="0"/>
        <v>824733</v>
      </c>
      <c r="E17" s="11">
        <v>214461</v>
      </c>
      <c r="F17" s="5"/>
      <c r="G17" s="5"/>
      <c r="H17" s="5"/>
      <c r="I17" s="6"/>
      <c r="J17" s="12"/>
      <c r="K17" s="11">
        <v>343021</v>
      </c>
      <c r="L17" s="14"/>
      <c r="M17" s="5">
        <f>107678+157801</f>
        <v>265479</v>
      </c>
      <c r="N17" s="10">
        <v>1772</v>
      </c>
      <c r="O17" s="11"/>
    </row>
    <row r="18" spans="1:15" ht="15">
      <c r="A18" s="36">
        <v>562.39</v>
      </c>
      <c r="B18" s="37" t="s">
        <v>20</v>
      </c>
      <c r="C18" s="11">
        <v>1551681</v>
      </c>
      <c r="D18" s="10">
        <f t="shared" si="0"/>
        <v>1541881</v>
      </c>
      <c r="E18" s="11"/>
      <c r="F18" s="5">
        <v>234525</v>
      </c>
      <c r="G18" s="5">
        <v>272773</v>
      </c>
      <c r="H18" s="5"/>
      <c r="I18" s="6"/>
      <c r="J18" s="12"/>
      <c r="K18" s="11"/>
      <c r="L18" s="14">
        <v>3295</v>
      </c>
      <c r="M18" s="5">
        <f>871043+142581+9801</f>
        <v>1023425</v>
      </c>
      <c r="N18" s="10">
        <v>160</v>
      </c>
      <c r="O18" s="11">
        <f>7000+703</f>
        <v>7703</v>
      </c>
    </row>
    <row r="19" spans="1:15" ht="15">
      <c r="A19" s="36">
        <v>562.41</v>
      </c>
      <c r="B19" s="37" t="s">
        <v>21</v>
      </c>
      <c r="C19" s="11">
        <v>792189</v>
      </c>
      <c r="D19" s="10">
        <f t="shared" si="0"/>
        <v>792189</v>
      </c>
      <c r="E19" s="11"/>
      <c r="F19" s="5">
        <v>57090</v>
      </c>
      <c r="G19" s="5"/>
      <c r="H19" s="5">
        <v>211065</v>
      </c>
      <c r="I19" s="6">
        <v>423396</v>
      </c>
      <c r="J19" s="12"/>
      <c r="K19" s="11"/>
      <c r="L19" s="14"/>
      <c r="M19" s="5">
        <v>100000</v>
      </c>
      <c r="N19" s="10"/>
      <c r="O19" s="11">
        <v>638</v>
      </c>
    </row>
    <row r="20" spans="1:15" ht="15">
      <c r="A20" s="36">
        <v>562.42</v>
      </c>
      <c r="B20" s="37" t="s">
        <v>22</v>
      </c>
      <c r="C20" s="11">
        <v>701015</v>
      </c>
      <c r="D20" s="10">
        <f t="shared" si="0"/>
        <v>701015</v>
      </c>
      <c r="E20" s="11">
        <v>20286</v>
      </c>
      <c r="F20" s="5">
        <v>245820</v>
      </c>
      <c r="G20" s="5"/>
      <c r="H20" s="5"/>
      <c r="I20" s="6">
        <v>334126</v>
      </c>
      <c r="J20" s="12"/>
      <c r="K20" s="11"/>
      <c r="L20" s="14"/>
      <c r="M20" s="5">
        <v>100000</v>
      </c>
      <c r="N20" s="10">
        <v>145</v>
      </c>
      <c r="O20" s="11">
        <v>638</v>
      </c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/>
      <c r="D22" s="10">
        <f t="shared" si="0"/>
        <v>0</v>
      </c>
      <c r="E22" s="11"/>
      <c r="F22" s="5"/>
      <c r="G22" s="5"/>
      <c r="H22" s="5"/>
      <c r="I22" s="6"/>
      <c r="J22" s="12"/>
      <c r="K22" s="11"/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>
        <v>56677</v>
      </c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>
        <v>463111</v>
      </c>
      <c r="D24" s="10">
        <f t="shared" si="0"/>
        <v>463111</v>
      </c>
      <c r="E24" s="11"/>
      <c r="F24" s="5"/>
      <c r="G24" s="5"/>
      <c r="H24" s="5"/>
      <c r="I24" s="6"/>
      <c r="J24" s="12"/>
      <c r="K24" s="11">
        <v>31066</v>
      </c>
      <c r="L24" s="14"/>
      <c r="M24" s="5">
        <f>238142+113209+80694</f>
        <v>432045</v>
      </c>
      <c r="N24" s="10"/>
      <c r="O24" s="11"/>
    </row>
    <row r="25" spans="1:15" ht="15">
      <c r="A25" s="36">
        <v>562.52</v>
      </c>
      <c r="B25" s="37" t="s">
        <v>23</v>
      </c>
      <c r="C25" s="11">
        <v>731406</v>
      </c>
      <c r="D25" s="10">
        <f t="shared" si="0"/>
        <v>731406</v>
      </c>
      <c r="E25" s="11"/>
      <c r="F25" s="5">
        <v>2226</v>
      </c>
      <c r="G25" s="5"/>
      <c r="H25" s="5">
        <v>54159</v>
      </c>
      <c r="I25" s="6">
        <v>98050</v>
      </c>
      <c r="J25" s="12"/>
      <c r="K25" s="11"/>
      <c r="L25" s="14"/>
      <c r="M25" s="5">
        <f>285078+29241</f>
        <v>314319</v>
      </c>
      <c r="N25" s="10">
        <f>87708+74671+11750+16250+1380+2182+62668</f>
        <v>256609</v>
      </c>
      <c r="O25" s="11">
        <v>6043</v>
      </c>
    </row>
    <row r="26" spans="1:15" ht="15">
      <c r="A26" s="36">
        <v>562.53</v>
      </c>
      <c r="B26" s="59" t="s">
        <v>66</v>
      </c>
      <c r="C26" s="11">
        <v>2881045</v>
      </c>
      <c r="D26" s="10">
        <f t="shared" si="0"/>
        <v>2937240</v>
      </c>
      <c r="E26" s="11"/>
      <c r="F26" s="5">
        <v>8195</v>
      </c>
      <c r="G26" s="5"/>
      <c r="H26" s="5"/>
      <c r="I26" s="6"/>
      <c r="J26" s="12">
        <v>1704442</v>
      </c>
      <c r="K26" s="11"/>
      <c r="L26" s="14"/>
      <c r="M26" s="5">
        <f>26483+5000+269010+37758</f>
        <v>338251</v>
      </c>
      <c r="N26" s="10">
        <f>26810+32299+133818+36540+20191+525000+61190+7383</f>
        <v>843231</v>
      </c>
      <c r="O26" s="11">
        <v>43121</v>
      </c>
    </row>
    <row r="27" spans="1:15" ht="15">
      <c r="A27" s="36">
        <v>562.54</v>
      </c>
      <c r="B27" s="59" t="s">
        <v>67</v>
      </c>
      <c r="C27" s="11">
        <v>2512788</v>
      </c>
      <c r="D27" s="10">
        <f t="shared" si="0"/>
        <v>2581782</v>
      </c>
      <c r="E27" s="11">
        <v>37894</v>
      </c>
      <c r="F27" s="5"/>
      <c r="G27" s="5"/>
      <c r="H27" s="5"/>
      <c r="I27" s="6"/>
      <c r="J27" s="12"/>
      <c r="K27" s="11">
        <v>99287</v>
      </c>
      <c r="L27" s="14"/>
      <c r="M27" s="5">
        <v>12409</v>
      </c>
      <c r="N27" s="10">
        <f>119635+260074+3440+292803+54154+10442+35218+13073+883970+86228+628316</f>
        <v>2387353</v>
      </c>
      <c r="O27" s="11">
        <f>-10+44849</f>
        <v>44839</v>
      </c>
    </row>
    <row r="28" spans="1:15" ht="15">
      <c r="A28" s="36">
        <v>562.55</v>
      </c>
      <c r="B28" s="37" t="s">
        <v>24</v>
      </c>
      <c r="C28" s="11"/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3490246</v>
      </c>
      <c r="D29" s="10">
        <f t="shared" si="0"/>
        <v>3503780</v>
      </c>
      <c r="E29" s="11"/>
      <c r="F29" s="5"/>
      <c r="G29" s="5"/>
      <c r="H29" s="5"/>
      <c r="I29" s="6"/>
      <c r="J29" s="12"/>
      <c r="K29" s="11"/>
      <c r="L29" s="14"/>
      <c r="M29" s="5"/>
      <c r="N29" s="10">
        <f>1711291+211648+92703+1049985+81973+109119+65565+172690</f>
        <v>3494974</v>
      </c>
      <c r="O29" s="11">
        <f>-25+8831</f>
        <v>8806</v>
      </c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288917</v>
      </c>
      <c r="D31" s="10">
        <f t="shared" si="0"/>
        <v>289870</v>
      </c>
      <c r="E31" s="11"/>
      <c r="F31" s="5"/>
      <c r="G31" s="5"/>
      <c r="H31" s="5"/>
      <c r="I31" s="6"/>
      <c r="J31" s="12"/>
      <c r="K31" s="11"/>
      <c r="L31" s="14"/>
      <c r="M31" s="5"/>
      <c r="N31" s="10">
        <f>219790+4140+10870+760+8900+45130+280</f>
        <v>289870</v>
      </c>
      <c r="O31" s="11"/>
    </row>
    <row r="32" spans="1:15" ht="15">
      <c r="A32" s="36">
        <v>562.59</v>
      </c>
      <c r="B32" s="59" t="s">
        <v>56</v>
      </c>
      <c r="C32" s="11">
        <v>194709</v>
      </c>
      <c r="D32" s="10">
        <f t="shared" si="0"/>
        <v>194709</v>
      </c>
      <c r="E32" s="11"/>
      <c r="F32" s="6"/>
      <c r="G32" s="5"/>
      <c r="H32" s="6"/>
      <c r="I32" s="6"/>
      <c r="J32" s="12"/>
      <c r="K32" s="11"/>
      <c r="L32" s="14"/>
      <c r="M32" s="6">
        <f>190209+4000</f>
        <v>194209</v>
      </c>
      <c r="N32" s="81"/>
      <c r="O32" s="11">
        <v>500</v>
      </c>
    </row>
    <row r="33" spans="1:15" ht="15">
      <c r="A33" s="36">
        <v>562.6</v>
      </c>
      <c r="B33" s="37" t="s">
        <v>26</v>
      </c>
      <c r="C33" s="11">
        <v>864334</v>
      </c>
      <c r="D33" s="10">
        <f t="shared" si="0"/>
        <v>887003</v>
      </c>
      <c r="E33" s="11">
        <v>15989</v>
      </c>
      <c r="F33" s="5"/>
      <c r="G33" s="5"/>
      <c r="H33" s="5"/>
      <c r="I33" s="6"/>
      <c r="J33" s="12">
        <v>63361</v>
      </c>
      <c r="K33" s="11">
        <f>76612+26500+4291</f>
        <v>107403</v>
      </c>
      <c r="L33" s="14">
        <v>231150</v>
      </c>
      <c r="M33" s="5">
        <f>18346+34046+199000</f>
        <v>251392</v>
      </c>
      <c r="N33" s="10">
        <f>45090+172618</f>
        <v>217708</v>
      </c>
      <c r="O33" s="11"/>
    </row>
    <row r="34" spans="1:15" ht="15">
      <c r="A34" s="36">
        <v>562.71</v>
      </c>
      <c r="B34" s="37" t="s">
        <v>27</v>
      </c>
      <c r="C34" s="11">
        <v>529650</v>
      </c>
      <c r="D34" s="10">
        <f t="shared" si="0"/>
        <v>544527</v>
      </c>
      <c r="E34" s="11"/>
      <c r="F34" s="5"/>
      <c r="G34" s="5"/>
      <c r="H34" s="5"/>
      <c r="I34" s="6"/>
      <c r="J34" s="12"/>
      <c r="K34" s="11"/>
      <c r="L34" s="14"/>
      <c r="M34" s="5"/>
      <c r="N34" s="10">
        <f>440226+77647</f>
        <v>517873</v>
      </c>
      <c r="O34" s="11">
        <f>-20+26674</f>
        <v>26654</v>
      </c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>
        <v>974155</v>
      </c>
      <c r="D36" s="10">
        <f t="shared" si="0"/>
        <v>974155</v>
      </c>
      <c r="E36" s="11"/>
      <c r="F36" s="5"/>
      <c r="G36" s="5"/>
      <c r="H36" s="5"/>
      <c r="I36" s="6">
        <v>17795</v>
      </c>
      <c r="J36" s="12"/>
      <c r="K36" s="11"/>
      <c r="L36" s="14">
        <v>956360</v>
      </c>
      <c r="M36" s="5"/>
      <c r="N36" s="10"/>
      <c r="O36" s="11"/>
    </row>
    <row r="37" spans="1:15" ht="15">
      <c r="A37" s="36">
        <v>562.74</v>
      </c>
      <c r="B37" s="59" t="s">
        <v>57</v>
      </c>
      <c r="C37" s="11">
        <v>405281</v>
      </c>
      <c r="D37" s="10">
        <f t="shared" si="0"/>
        <v>405280</v>
      </c>
      <c r="E37" s="11"/>
      <c r="F37" s="5">
        <v>91858</v>
      </c>
      <c r="G37" s="5"/>
      <c r="H37" s="5"/>
      <c r="I37" s="6">
        <v>110833</v>
      </c>
      <c r="J37" s="12"/>
      <c r="K37" s="11"/>
      <c r="L37" s="14"/>
      <c r="M37" s="5">
        <f>162208+40000</f>
        <v>202208</v>
      </c>
      <c r="N37" s="10"/>
      <c r="O37" s="11">
        <v>381</v>
      </c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563329</v>
      </c>
      <c r="D40" s="10">
        <f t="shared" si="0"/>
        <v>586093</v>
      </c>
      <c r="E40" s="11"/>
      <c r="F40" s="5"/>
      <c r="G40" s="5">
        <v>31913</v>
      </c>
      <c r="H40" s="5">
        <v>179960</v>
      </c>
      <c r="I40" s="6">
        <v>183788</v>
      </c>
      <c r="J40" s="12"/>
      <c r="K40" s="11">
        <v>72737</v>
      </c>
      <c r="L40" s="14"/>
      <c r="M40" s="5"/>
      <c r="N40" s="10">
        <v>104448</v>
      </c>
      <c r="O40" s="11">
        <f>8100+5097+50</f>
        <v>13247</v>
      </c>
    </row>
    <row r="41" spans="1:15" ht="15">
      <c r="A41" s="36">
        <v>562.88</v>
      </c>
      <c r="B41" s="59" t="s">
        <v>58</v>
      </c>
      <c r="C41" s="11">
        <v>923597</v>
      </c>
      <c r="D41" s="10">
        <f t="shared" si="0"/>
        <v>906981</v>
      </c>
      <c r="E41" s="11"/>
      <c r="F41" s="5">
        <v>8676</v>
      </c>
      <c r="G41" s="5"/>
      <c r="H41" s="5"/>
      <c r="I41" s="6"/>
      <c r="J41" s="12"/>
      <c r="K41" s="11">
        <f>747256+151049</f>
        <v>898305</v>
      </c>
      <c r="L41" s="14"/>
      <c r="M41" s="5"/>
      <c r="N41" s="10"/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27458147</v>
      </c>
      <c r="D44" s="64">
        <f>SUM(E44:O44)</f>
        <v>27511805</v>
      </c>
      <c r="E44" s="65">
        <f aca="true" t="shared" si="1" ref="E44:O44">SUM(E5:E43)</f>
        <v>318672</v>
      </c>
      <c r="F44" s="63">
        <f t="shared" si="1"/>
        <v>1257648</v>
      </c>
      <c r="G44" s="63">
        <f t="shared" si="1"/>
        <v>432211</v>
      </c>
      <c r="H44" s="63">
        <f t="shared" si="1"/>
        <v>468458</v>
      </c>
      <c r="I44" s="63">
        <f t="shared" si="1"/>
        <v>2048311</v>
      </c>
      <c r="J44" s="66">
        <f t="shared" si="1"/>
        <v>2998016</v>
      </c>
      <c r="K44" s="65">
        <f t="shared" si="1"/>
        <v>3029096</v>
      </c>
      <c r="L44" s="67">
        <f t="shared" si="1"/>
        <v>3388550</v>
      </c>
      <c r="M44" s="63">
        <f t="shared" si="1"/>
        <v>5077140</v>
      </c>
      <c r="N44" s="64">
        <f t="shared" si="1"/>
        <v>8290220</v>
      </c>
      <c r="O44" s="65">
        <f t="shared" si="1"/>
        <v>203483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>
        <v>4145531</v>
      </c>
      <c r="D53" s="10">
        <f t="shared" si="2"/>
        <v>4145532</v>
      </c>
      <c r="E53" s="11"/>
      <c r="F53" s="5"/>
      <c r="G53" s="5"/>
      <c r="H53" s="5"/>
      <c r="I53" s="6"/>
      <c r="J53" s="12"/>
      <c r="K53" s="11"/>
      <c r="L53" s="14">
        <f>7785+29774+478335+197688</f>
        <v>713582</v>
      </c>
      <c r="M53" s="5"/>
      <c r="N53" s="10">
        <f>294697+13741+806443+2665076+-546862+189014+6278</f>
        <v>3428387</v>
      </c>
      <c r="O53" s="11">
        <f>500-1+3064</f>
        <v>3563</v>
      </c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>
        <v>399149</v>
      </c>
      <c r="D55" s="18">
        <f t="shared" si="2"/>
        <v>407651</v>
      </c>
      <c r="E55" s="15"/>
      <c r="F55" s="8">
        <v>152648</v>
      </c>
      <c r="G55" s="8"/>
      <c r="H55" s="8"/>
      <c r="I55" s="17"/>
      <c r="J55" s="16"/>
      <c r="K55" s="15"/>
      <c r="L55" s="18"/>
      <c r="M55" s="8"/>
      <c r="N55" s="82"/>
      <c r="O55" s="15">
        <f>5939+52747+168499+27560+258</f>
        <v>255003</v>
      </c>
    </row>
    <row r="56" spans="1:15" ht="15.75" thickBot="1">
      <c r="A56" s="69"/>
      <c r="B56" s="70" t="s">
        <v>47</v>
      </c>
      <c r="C56" s="73">
        <f>SUM(C44:C55)</f>
        <v>32002827</v>
      </c>
      <c r="D56" s="72">
        <f>SUM(E56:O56)</f>
        <v>32064988</v>
      </c>
      <c r="E56" s="73">
        <f aca="true" t="shared" si="3" ref="E56:O56">SUM(E44:E55)</f>
        <v>318672</v>
      </c>
      <c r="F56" s="71">
        <f t="shared" si="3"/>
        <v>1410296</v>
      </c>
      <c r="G56" s="71">
        <f t="shared" si="3"/>
        <v>432211</v>
      </c>
      <c r="H56" s="71">
        <f t="shared" si="3"/>
        <v>468458</v>
      </c>
      <c r="I56" s="74">
        <f t="shared" si="3"/>
        <v>2048311</v>
      </c>
      <c r="J56" s="75">
        <f t="shared" si="3"/>
        <v>2998016</v>
      </c>
      <c r="K56" s="73">
        <f t="shared" si="3"/>
        <v>3029096</v>
      </c>
      <c r="L56" s="76">
        <f t="shared" si="3"/>
        <v>4102132</v>
      </c>
      <c r="M56" s="71">
        <f t="shared" si="3"/>
        <v>5077140</v>
      </c>
      <c r="N56" s="83">
        <f t="shared" si="3"/>
        <v>11718607</v>
      </c>
      <c r="O56" s="73">
        <f t="shared" si="3"/>
        <v>462049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318672</v>
      </c>
      <c r="D62" s="45">
        <f>E56/D56</f>
        <v>0.009938316521434532</v>
      </c>
    </row>
    <row r="63" spans="2:4" ht="15">
      <c r="B63" s="24" t="s">
        <v>2</v>
      </c>
      <c r="C63" s="46">
        <f>F56</f>
        <v>1410296</v>
      </c>
      <c r="D63" s="45">
        <f>F56/D56</f>
        <v>0.043982427188184195</v>
      </c>
    </row>
    <row r="64" spans="2:4" ht="15">
      <c r="B64" s="24" t="s">
        <v>3</v>
      </c>
      <c r="C64" s="46">
        <f>G56</f>
        <v>432211</v>
      </c>
      <c r="D64" s="45">
        <f>G56/D56</f>
        <v>0.013479219140827373</v>
      </c>
    </row>
    <row r="65" spans="2:4" ht="15">
      <c r="B65" s="24" t="s">
        <v>4</v>
      </c>
      <c r="C65" s="46">
        <f>H56</f>
        <v>468458</v>
      </c>
      <c r="D65" s="45">
        <f>H56/D56</f>
        <v>0.014609642143012809</v>
      </c>
    </row>
    <row r="66" spans="2:4" ht="15">
      <c r="B66" s="24" t="s">
        <v>5</v>
      </c>
      <c r="C66" s="46">
        <f>I56</f>
        <v>2048311</v>
      </c>
      <c r="D66" s="45">
        <f>I56/D56</f>
        <v>0.06387998648245245</v>
      </c>
    </row>
    <row r="67" spans="2:4" ht="15">
      <c r="B67" s="53" t="s">
        <v>46</v>
      </c>
      <c r="C67" s="47">
        <f>J56</f>
        <v>2998016</v>
      </c>
      <c r="D67" s="48">
        <f>J56/D56</f>
        <v>0.09349811701161403</v>
      </c>
    </row>
    <row r="68" spans="2:4" ht="15.75" thickBot="1">
      <c r="B68" s="91" t="s">
        <v>79</v>
      </c>
      <c r="C68" s="49">
        <f>SUM(C62:C67)</f>
        <v>7675964</v>
      </c>
      <c r="D68" s="50">
        <f>SUM(D62:D67)</f>
        <v>0.23938770848752539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3029096</v>
      </c>
      <c r="D70" s="23">
        <f>K56/D56</f>
        <v>0.09446739852202658</v>
      </c>
    </row>
    <row r="71" spans="2:4" ht="15">
      <c r="B71" s="54" t="s">
        <v>8</v>
      </c>
      <c r="C71" s="25">
        <f>L56</f>
        <v>4102132</v>
      </c>
      <c r="D71" s="26">
        <f>L56/D56</f>
        <v>0.12793181148235577</v>
      </c>
    </row>
    <row r="72" spans="2:4" ht="15.75" thickBot="1">
      <c r="B72" s="91" t="s">
        <v>80</v>
      </c>
      <c r="C72" s="49">
        <f>SUM(C70:C71)</f>
        <v>7131228</v>
      </c>
      <c r="D72" s="50">
        <f>SUM(D70:D71)</f>
        <v>0.22239921000438234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5077140</v>
      </c>
      <c r="D74" s="23">
        <f>M56/D56</f>
        <v>0.15833905816524865</v>
      </c>
    </row>
    <row r="75" spans="2:4" ht="15">
      <c r="B75" s="22" t="s">
        <v>9</v>
      </c>
      <c r="C75" s="21">
        <f>N56</f>
        <v>11718607</v>
      </c>
      <c r="D75" s="23">
        <f>N56/D56</f>
        <v>0.36546425652802367</v>
      </c>
    </row>
    <row r="76" spans="2:4" ht="15">
      <c r="B76" s="97" t="s">
        <v>50</v>
      </c>
      <c r="C76" s="25">
        <f>O56</f>
        <v>462049</v>
      </c>
      <c r="D76" s="26">
        <f>O56/D56</f>
        <v>0.014409766814819952</v>
      </c>
    </row>
    <row r="77" spans="2:4" ht="15.75" thickBot="1">
      <c r="B77" s="91" t="s">
        <v>81</v>
      </c>
      <c r="C77" s="49">
        <f>SUM(C74:C76)</f>
        <v>17257796</v>
      </c>
      <c r="D77" s="50">
        <f>SUM(D74:D76)</f>
        <v>0.5382130815080923</v>
      </c>
    </row>
    <row r="78" spans="2:4" ht="15.75" thickBot="1">
      <c r="B78" s="94" t="s">
        <v>47</v>
      </c>
      <c r="C78" s="95">
        <f>C68+C72+C77</f>
        <v>32064988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C55:O55 A5:O53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&amp;"-,Bold"&amp;20TACOMA-PIERCE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2014-07-09T21:53:38Z</dcterms:modified>
  <cp:category>Washington State</cp:category>
  <cp:version/>
  <cp:contentType/>
  <cp:contentStatus/>
</cp:coreProperties>
</file>